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zer.ercan\Desktop\"/>
    </mc:Choice>
  </mc:AlternateContent>
  <xr:revisionPtr revIDLastSave="0" documentId="13_ncr:1_{614210FE-C4C4-4917-81C6-57E895A35713}" xr6:coauthVersionLast="47" xr6:coauthVersionMax="47" xr10:uidLastSave="{00000000-0000-0000-0000-000000000000}"/>
  <bookViews>
    <workbookView xWindow="-28920" yWindow="-120" windowWidth="29040" windowHeight="15840" tabRatio="878" xr2:uid="{00000000-000D-0000-FFFF-FFFF00000000}"/>
  </bookViews>
  <sheets>
    <sheet name="Kapak" sheetId="5" r:id="rId1"/>
    <sheet name="Operasyonel Veriler" sheetId="1" r:id="rId2"/>
    <sheet name="Finansallar - Yeni Segment" sheetId="10" r:id="rId3"/>
    <sheet name="Finansallar - Yeni Segment-USD" sheetId="11" r:id="rId4"/>
    <sheet name="Finansallar - 2019-2022" sheetId="6" r:id="rId5"/>
    <sheet name="Finansallar - 2019-2022-USD" sheetId="8" r:id="rId6"/>
    <sheet name="Finansallar - 2008-2019" sheetId="2" r:id="rId7"/>
    <sheet name="Finansallar - 2008-2019-USD" sheetId="9" r:id="rId8"/>
  </sheets>
  <definedNames>
    <definedName name="_xlnm.Print_Area" localSheetId="6">'Finansallar - 2008-2019'!$B$16:$AO$194</definedName>
    <definedName name="_xlnm.Print_Area" localSheetId="7">'Finansallar - 2008-2019-USD'!$B$16:$AO$126</definedName>
    <definedName name="_xlnm.Print_Area" localSheetId="4">'Finansallar - 2019-2022'!$B$16:$B$217</definedName>
    <definedName name="_xlnm.Print_Area" localSheetId="5">'Finansallar - 2019-2022-USD'!$B$16:$B$147</definedName>
    <definedName name="_xlnm.Print_Area" localSheetId="2">'Finansallar - Yeni Segment'!$B$16:$B$217</definedName>
    <definedName name="_xlnm.Print_Area" localSheetId="3">'Finansallar - Yeni Segment-USD'!$B$16:$B$147</definedName>
    <definedName name="_xlnm.Print_Area" localSheetId="0">Kapak!$A$1:$H$32</definedName>
    <definedName name="_xlnm.Print_Area" localSheetId="1">'Operasyonel Veriler'!$B$6:$AO$138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101" i="9" l="1"/>
  <c r="AS100" i="9"/>
  <c r="AS99" i="9"/>
  <c r="AS97" i="9"/>
  <c r="AS96" i="9"/>
  <c r="AS95" i="9"/>
  <c r="AS94" i="9"/>
  <c r="AS93" i="9"/>
  <c r="AS92" i="9"/>
  <c r="AS91" i="9"/>
  <c r="AS89" i="9"/>
  <c r="AS88" i="9"/>
  <c r="AS87" i="9"/>
  <c r="AS86" i="9"/>
  <c r="AS85" i="9"/>
  <c r="AS84" i="9"/>
  <c r="AS83" i="9"/>
  <c r="AS81" i="9"/>
  <c r="AS80" i="9"/>
  <c r="AS79" i="9"/>
  <c r="AS78" i="9"/>
  <c r="AO101" i="9"/>
  <c r="AO100" i="9"/>
  <c r="AO99" i="9"/>
  <c r="AO97" i="9"/>
  <c r="AO96" i="9"/>
  <c r="AO95" i="9"/>
  <c r="AO94" i="9"/>
  <c r="AO93" i="9"/>
  <c r="AO92" i="9"/>
  <c r="AO91" i="9"/>
  <c r="AO89" i="9"/>
  <c r="AO88" i="9"/>
  <c r="AO87" i="9"/>
  <c r="AO86" i="9"/>
  <c r="AO85" i="9"/>
  <c r="AO84" i="9"/>
  <c r="AO83" i="9"/>
  <c r="AO81" i="9"/>
  <c r="AO80" i="9"/>
  <c r="AO79" i="9"/>
  <c r="AO78" i="9"/>
  <c r="AK101" i="9"/>
  <c r="AK100" i="9"/>
  <c r="AK99" i="9"/>
  <c r="AK97" i="9"/>
  <c r="AK96" i="9"/>
  <c r="AK95" i="9"/>
  <c r="AK94" i="9"/>
  <c r="AK93" i="9"/>
  <c r="AK92" i="9"/>
  <c r="AK91" i="9"/>
  <c r="AK89" i="9"/>
  <c r="AK88" i="9"/>
  <c r="AK87" i="9"/>
  <c r="AK86" i="9"/>
  <c r="AK85" i="9"/>
  <c r="AK84" i="9"/>
  <c r="AK83" i="9"/>
  <c r="AK81" i="9"/>
  <c r="AK80" i="9"/>
  <c r="AK79" i="9"/>
  <c r="AK78" i="9"/>
  <c r="AG101" i="9"/>
  <c r="AG100" i="9"/>
  <c r="AG99" i="9"/>
  <c r="AG97" i="9"/>
  <c r="AG96" i="9"/>
  <c r="AG95" i="9"/>
  <c r="AG94" i="9"/>
  <c r="AG93" i="9"/>
  <c r="AG92" i="9"/>
  <c r="AG91" i="9"/>
  <c r="AG89" i="9"/>
  <c r="AG88" i="9"/>
  <c r="AG87" i="9"/>
  <c r="AG86" i="9"/>
  <c r="AG85" i="9"/>
  <c r="AG84" i="9"/>
  <c r="AG83" i="9"/>
  <c r="AG81" i="9"/>
  <c r="AG80" i="9"/>
  <c r="AG79" i="9"/>
  <c r="AG78" i="9"/>
  <c r="AC101" i="9"/>
  <c r="AC100" i="9"/>
  <c r="AC99" i="9"/>
  <c r="AC97" i="9"/>
  <c r="AC96" i="9"/>
  <c r="AC95" i="9"/>
  <c r="AC94" i="9"/>
  <c r="AC93" i="9"/>
  <c r="AC92" i="9"/>
  <c r="AC91" i="9"/>
  <c r="AC89" i="9"/>
  <c r="AC88" i="9"/>
  <c r="AC87" i="9"/>
  <c r="AC86" i="9"/>
  <c r="AC85" i="9"/>
  <c r="AC84" i="9"/>
  <c r="AC83" i="9"/>
  <c r="AC81" i="9"/>
  <c r="AC80" i="9"/>
  <c r="AC79" i="9"/>
  <c r="AC78" i="9"/>
  <c r="Y101" i="9"/>
  <c r="Y100" i="9"/>
  <c r="Y99" i="9"/>
  <c r="Y97" i="9"/>
  <c r="Y96" i="9"/>
  <c r="Y95" i="9"/>
  <c r="Y94" i="9"/>
  <c r="Y93" i="9"/>
  <c r="Y92" i="9"/>
  <c r="Y91" i="9"/>
  <c r="Y89" i="9"/>
  <c r="Y88" i="9"/>
  <c r="Y87" i="9"/>
  <c r="Y86" i="9"/>
  <c r="Y85" i="9"/>
  <c r="Y84" i="9"/>
  <c r="Y83" i="9"/>
  <c r="Y81" i="9"/>
  <c r="Y80" i="9"/>
  <c r="Y79" i="9"/>
  <c r="Y78" i="9"/>
  <c r="U101" i="9"/>
  <c r="U100" i="9"/>
  <c r="U99" i="9"/>
  <c r="U97" i="9"/>
  <c r="U96" i="9"/>
  <c r="U95" i="9"/>
  <c r="U94" i="9"/>
  <c r="U93" i="9"/>
  <c r="U92" i="9"/>
  <c r="U91" i="9"/>
  <c r="U89" i="9"/>
  <c r="U88" i="9"/>
  <c r="U87" i="9"/>
  <c r="U86" i="9"/>
  <c r="U85" i="9"/>
  <c r="U84" i="9"/>
  <c r="U83" i="9"/>
  <c r="U81" i="9"/>
  <c r="U80" i="9"/>
  <c r="U79" i="9"/>
  <c r="U78" i="9"/>
  <c r="Q101" i="9"/>
  <c r="Q100" i="9"/>
  <c r="Q99" i="9"/>
  <c r="Q97" i="9"/>
  <c r="Q96" i="9"/>
  <c r="Q95" i="9"/>
  <c r="Q94" i="9"/>
  <c r="Q93" i="9"/>
  <c r="Q92" i="9"/>
  <c r="Q91" i="9"/>
  <c r="Q89" i="9"/>
  <c r="Q88" i="9"/>
  <c r="Q87" i="9"/>
  <c r="Q86" i="9"/>
  <c r="Q85" i="9"/>
  <c r="Q84" i="9"/>
  <c r="Q83" i="9"/>
  <c r="Q81" i="9"/>
  <c r="Q80" i="9"/>
  <c r="Q79" i="9"/>
  <c r="Q78" i="9"/>
  <c r="M101" i="9"/>
  <c r="M100" i="9"/>
  <c r="M99" i="9"/>
  <c r="M97" i="9"/>
  <c r="M96" i="9"/>
  <c r="M95" i="9"/>
  <c r="M94" i="9"/>
  <c r="M93" i="9"/>
  <c r="M92" i="9"/>
  <c r="M91" i="9"/>
  <c r="M89" i="9"/>
  <c r="M88" i="9"/>
  <c r="M87" i="9"/>
  <c r="M86" i="9"/>
  <c r="M85" i="9"/>
  <c r="M84" i="9"/>
  <c r="M83" i="9"/>
  <c r="M81" i="9"/>
  <c r="M80" i="9"/>
  <c r="M79" i="9"/>
  <c r="M78" i="9"/>
  <c r="I101" i="9"/>
  <c r="I100" i="9"/>
  <c r="I99" i="9"/>
  <c r="I97" i="9"/>
  <c r="I96" i="9"/>
  <c r="I95" i="9"/>
  <c r="I94" i="9"/>
  <c r="I93" i="9"/>
  <c r="I92" i="9"/>
  <c r="I91" i="9"/>
  <c r="I89" i="9"/>
  <c r="I88" i="9"/>
  <c r="I87" i="9"/>
  <c r="I86" i="9"/>
  <c r="I85" i="9"/>
  <c r="I84" i="9"/>
  <c r="I83" i="9"/>
  <c r="I81" i="9"/>
  <c r="I80" i="9"/>
  <c r="I79" i="9"/>
  <c r="I78" i="9"/>
  <c r="AS44" i="9"/>
  <c r="AS45" i="9" s="1"/>
  <c r="AS43" i="9"/>
  <c r="AS42" i="9"/>
  <c r="AS41" i="9"/>
  <c r="AS39" i="9"/>
  <c r="AS40" i="9" s="1"/>
  <c r="AS38" i="9"/>
  <c r="AS37" i="9"/>
  <c r="AS35" i="9"/>
  <c r="AS36" i="9" s="1"/>
  <c r="AS34" i="9"/>
  <c r="AO44" i="9"/>
  <c r="AO45" i="9" s="1"/>
  <c r="AO43" i="9"/>
  <c r="AO42" i="9"/>
  <c r="AO41" i="9"/>
  <c r="AO39" i="9"/>
  <c r="AO40" i="9" s="1"/>
  <c r="AO38" i="9"/>
  <c r="AO37" i="9"/>
  <c r="AO35" i="9"/>
  <c r="AO36" i="9" s="1"/>
  <c r="AO34" i="9"/>
  <c r="AK45" i="9"/>
  <c r="AK44" i="9"/>
  <c r="AK43" i="9"/>
  <c r="AK42" i="9"/>
  <c r="AK41" i="9"/>
  <c r="AK40" i="9"/>
  <c r="AK39" i="9"/>
  <c r="AK37" i="9"/>
  <c r="AK38" i="9" s="1"/>
  <c r="AK36" i="9"/>
  <c r="AK35" i="9"/>
  <c r="AK34" i="9"/>
  <c r="AG45" i="9"/>
  <c r="AG44" i="9"/>
  <c r="AG43" i="9"/>
  <c r="AG42" i="9"/>
  <c r="AG41" i="9"/>
  <c r="AG40" i="9"/>
  <c r="AG39" i="9"/>
  <c r="AG37" i="9"/>
  <c r="AG38" i="9" s="1"/>
  <c r="AG36" i="9"/>
  <c r="AG35" i="9"/>
  <c r="AG34" i="9"/>
  <c r="AC45" i="9"/>
  <c r="AC44" i="9"/>
  <c r="AC43" i="9"/>
  <c r="AC42" i="9"/>
  <c r="AC41" i="9"/>
  <c r="AC40" i="9"/>
  <c r="AC39" i="9"/>
  <c r="AC37" i="9"/>
  <c r="AC38" i="9" s="1"/>
  <c r="AC36" i="9"/>
  <c r="AC35" i="9"/>
  <c r="AC34" i="9"/>
  <c r="Y45" i="9"/>
  <c r="Y44" i="9"/>
  <c r="Y43" i="9"/>
  <c r="Y42" i="9"/>
  <c r="Y41" i="9"/>
  <c r="Y40" i="9"/>
  <c r="Y39" i="9"/>
  <c r="Y38" i="9"/>
  <c r="Y37" i="9"/>
  <c r="Y35" i="9"/>
  <c r="Y36" i="9" s="1"/>
  <c r="Y34" i="9"/>
  <c r="U45" i="9"/>
  <c r="U44" i="9"/>
  <c r="U43" i="9"/>
  <c r="U42" i="9"/>
  <c r="U41" i="9"/>
  <c r="U40" i="9"/>
  <c r="U39" i="9"/>
  <c r="U37" i="9"/>
  <c r="U38" i="9" s="1"/>
  <c r="U36" i="9"/>
  <c r="U35" i="9"/>
  <c r="U34" i="9"/>
  <c r="Q45" i="9"/>
  <c r="Q44" i="9"/>
  <c r="Q43" i="9"/>
  <c r="Q42" i="9"/>
  <c r="Q41" i="9"/>
  <c r="Q39" i="9"/>
  <c r="Q40" i="9" s="1"/>
  <c r="Q37" i="9"/>
  <c r="Q38" i="9" s="1"/>
  <c r="Q35" i="9"/>
  <c r="Q36" i="9" s="1"/>
  <c r="Q34" i="9"/>
  <c r="M44" i="9"/>
  <c r="M45" i="9" s="1"/>
  <c r="M43" i="9"/>
  <c r="M42" i="9"/>
  <c r="M41" i="9"/>
  <c r="M39" i="9"/>
  <c r="M40" i="9" s="1"/>
  <c r="M38" i="9"/>
  <c r="M37" i="9"/>
  <c r="M36" i="9"/>
  <c r="M35" i="9"/>
  <c r="M34" i="9"/>
  <c r="I45" i="9"/>
  <c r="I44" i="9"/>
  <c r="I43" i="9"/>
  <c r="I42" i="9"/>
  <c r="I41" i="9"/>
  <c r="I40" i="9"/>
  <c r="I39" i="9"/>
  <c r="I38" i="9"/>
  <c r="I37" i="9"/>
  <c r="I35" i="9"/>
  <c r="I36" i="9" s="1"/>
  <c r="I34" i="9"/>
  <c r="C38" i="2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O44" i="8"/>
  <c r="O45" i="8" s="1"/>
  <c r="O43" i="8"/>
  <c r="O42" i="8"/>
  <c r="O41" i="8"/>
  <c r="O40" i="8"/>
  <c r="O39" i="8"/>
  <c r="O38" i="8"/>
  <c r="O37" i="8"/>
  <c r="O36" i="8"/>
  <c r="O35" i="8"/>
  <c r="O34" i="8"/>
  <c r="K44" i="8"/>
  <c r="K45" i="8" s="1"/>
  <c r="K43" i="8"/>
  <c r="K42" i="8"/>
  <c r="K41" i="8"/>
  <c r="K40" i="8"/>
  <c r="K39" i="8"/>
  <c r="K38" i="8"/>
  <c r="K37" i="8"/>
  <c r="K36" i="8"/>
  <c r="K35" i="8"/>
  <c r="K34" i="8"/>
  <c r="G45" i="8"/>
  <c r="G44" i="8"/>
  <c r="G43" i="8"/>
  <c r="G42" i="8"/>
  <c r="G41" i="8"/>
  <c r="G40" i="8"/>
  <c r="G39" i="8"/>
  <c r="G37" i="8"/>
  <c r="G38" i="8" s="1"/>
  <c r="G36" i="8"/>
  <c r="G35" i="8"/>
  <c r="G34" i="8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O44" i="6"/>
  <c r="O45" i="6" s="1"/>
  <c r="O43" i="6"/>
  <c r="O42" i="6"/>
  <c r="O41" i="6"/>
  <c r="O39" i="6"/>
  <c r="O40" i="6" s="1"/>
  <c r="O38" i="6"/>
  <c r="O37" i="6"/>
  <c r="O35" i="6"/>
  <c r="O36" i="6" s="1"/>
  <c r="O34" i="6"/>
  <c r="K44" i="6"/>
  <c r="K45" i="6" s="1"/>
  <c r="K43" i="6"/>
  <c r="K42" i="6"/>
  <c r="K41" i="6"/>
  <c r="K39" i="6"/>
  <c r="K40" i="6" s="1"/>
  <c r="K38" i="6"/>
  <c r="K37" i="6"/>
  <c r="K35" i="6"/>
  <c r="K36" i="6" s="1"/>
  <c r="K34" i="6"/>
  <c r="G44" i="6"/>
  <c r="G45" i="6" s="1"/>
  <c r="G43" i="6"/>
  <c r="G42" i="6"/>
  <c r="G41" i="6"/>
  <c r="G40" i="6"/>
  <c r="G39" i="6"/>
  <c r="G38" i="6"/>
  <c r="G37" i="6"/>
  <c r="G36" i="6"/>
  <c r="G35" i="6"/>
  <c r="G34" i="6"/>
  <c r="G71" i="10" l="1"/>
  <c r="F71" i="10"/>
  <c r="E71" i="10"/>
  <c r="D71" i="10"/>
  <c r="H44" i="10"/>
  <c r="H45" i="10" s="1"/>
  <c r="H43" i="10"/>
  <c r="H42" i="10"/>
  <c r="H41" i="10"/>
  <c r="H40" i="10"/>
  <c r="H39" i="10"/>
  <c r="H38" i="10"/>
  <c r="H37" i="10"/>
  <c r="H36" i="10"/>
  <c r="H35" i="10"/>
  <c r="H34" i="10"/>
  <c r="G44" i="10"/>
  <c r="G45" i="10" s="1"/>
  <c r="G43" i="10"/>
  <c r="G42" i="10"/>
  <c r="G41" i="10"/>
  <c r="G39" i="10"/>
  <c r="G40" i="10" s="1"/>
  <c r="G38" i="10"/>
  <c r="G37" i="10"/>
  <c r="G35" i="10"/>
  <c r="G36" i="10" s="1"/>
  <c r="G34" i="10"/>
  <c r="F44" i="10"/>
  <c r="F45" i="10" s="1"/>
  <c r="F43" i="10"/>
  <c r="F42" i="10"/>
  <c r="F41" i="10"/>
  <c r="F40" i="10"/>
  <c r="F39" i="10"/>
  <c r="F38" i="10"/>
  <c r="F37" i="10"/>
  <c r="F36" i="10"/>
  <c r="F35" i="10"/>
  <c r="F34" i="10"/>
  <c r="E44" i="10"/>
  <c r="E45" i="10" s="1"/>
  <c r="E43" i="10"/>
  <c r="E42" i="10"/>
  <c r="E41" i="10"/>
  <c r="E40" i="10"/>
  <c r="E39" i="10"/>
  <c r="E38" i="10"/>
  <c r="E37" i="10"/>
  <c r="E35" i="10"/>
  <c r="E36" i="10" s="1"/>
  <c r="E34" i="10"/>
  <c r="D44" i="10"/>
  <c r="D45" i="10" s="1"/>
  <c r="D43" i="10"/>
  <c r="D42" i="10"/>
  <c r="D41" i="10"/>
  <c r="D39" i="10"/>
  <c r="D40" i="10" s="1"/>
  <c r="D38" i="10"/>
  <c r="D37" i="10"/>
  <c r="D35" i="10"/>
  <c r="D36" i="10" s="1"/>
  <c r="D34" i="10"/>
  <c r="C44" i="10"/>
  <c r="C45" i="10" s="1"/>
  <c r="C43" i="10"/>
  <c r="C42" i="10"/>
  <c r="C41" i="10"/>
  <c r="C39" i="10"/>
  <c r="C40" i="10" s="1"/>
  <c r="C38" i="10"/>
  <c r="C37" i="10"/>
  <c r="C35" i="10"/>
  <c r="C36" i="10" s="1"/>
  <c r="C34" i="10"/>
  <c r="H167" i="10"/>
  <c r="H104" i="11"/>
  <c r="H101" i="11"/>
  <c r="H100" i="11"/>
  <c r="H99" i="11"/>
  <c r="H98" i="11"/>
  <c r="H95" i="11"/>
  <c r="H110" i="11" s="1"/>
  <c r="H94" i="11"/>
  <c r="H93" i="11"/>
  <c r="H92" i="11"/>
  <c r="H89" i="11"/>
  <c r="H88" i="11"/>
  <c r="H87" i="11"/>
  <c r="G87" i="11"/>
  <c r="F87" i="11"/>
  <c r="E87" i="11"/>
  <c r="D87" i="11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C119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C118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C117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C116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C115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C114" i="6"/>
  <c r="R113" i="6"/>
  <c r="Q113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C113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C112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C111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H119" i="11"/>
  <c r="G119" i="11"/>
  <c r="F119" i="11"/>
  <c r="E119" i="11"/>
  <c r="D119" i="11"/>
  <c r="C119" i="11"/>
  <c r="H116" i="11"/>
  <c r="G116" i="11"/>
  <c r="F116" i="11"/>
  <c r="E116" i="11"/>
  <c r="D116" i="11"/>
  <c r="C116" i="11"/>
  <c r="H115" i="11"/>
  <c r="G115" i="11"/>
  <c r="F115" i="11"/>
  <c r="E115" i="11"/>
  <c r="D115" i="11"/>
  <c r="C115" i="11"/>
  <c r="H114" i="11"/>
  <c r="G114" i="11"/>
  <c r="F114" i="11"/>
  <c r="E114" i="11"/>
  <c r="D114" i="11"/>
  <c r="C114" i="11"/>
  <c r="H113" i="11"/>
  <c r="G113" i="11"/>
  <c r="F113" i="11"/>
  <c r="E113" i="11"/>
  <c r="D113" i="11"/>
  <c r="C113" i="11"/>
  <c r="G110" i="11"/>
  <c r="F110" i="11"/>
  <c r="E110" i="11"/>
  <c r="D110" i="11"/>
  <c r="C110" i="11"/>
  <c r="H109" i="11"/>
  <c r="G109" i="11"/>
  <c r="F109" i="11"/>
  <c r="E109" i="11"/>
  <c r="D109" i="11"/>
  <c r="C109" i="11"/>
  <c r="H108" i="11"/>
  <c r="G108" i="11"/>
  <c r="F108" i="11"/>
  <c r="E108" i="11"/>
  <c r="D108" i="11"/>
  <c r="C108" i="11"/>
  <c r="H82" i="11"/>
  <c r="G82" i="11"/>
  <c r="F82" i="11"/>
  <c r="E82" i="11"/>
  <c r="D82" i="11"/>
  <c r="C82" i="11"/>
  <c r="H79" i="11"/>
  <c r="G79" i="11"/>
  <c r="F79" i="11"/>
  <c r="E79" i="11"/>
  <c r="D79" i="11"/>
  <c r="C79" i="11"/>
  <c r="H78" i="11"/>
  <c r="G78" i="11"/>
  <c r="F78" i="11"/>
  <c r="E78" i="11"/>
  <c r="D78" i="11"/>
  <c r="C78" i="11"/>
  <c r="H77" i="11"/>
  <c r="G77" i="11"/>
  <c r="F77" i="11"/>
  <c r="E77" i="11"/>
  <c r="D77" i="11"/>
  <c r="C77" i="11"/>
  <c r="H76" i="11"/>
  <c r="G76" i="11"/>
  <c r="F76" i="11"/>
  <c r="E76" i="11"/>
  <c r="D76" i="11"/>
  <c r="C76" i="11"/>
  <c r="H73" i="11"/>
  <c r="G73" i="11"/>
  <c r="F73" i="11"/>
  <c r="E73" i="11"/>
  <c r="D73" i="11"/>
  <c r="C73" i="11"/>
  <c r="H72" i="11"/>
  <c r="G72" i="11"/>
  <c r="F72" i="11"/>
  <c r="E72" i="11"/>
  <c r="D72" i="11"/>
  <c r="C72" i="11"/>
  <c r="H71" i="11"/>
  <c r="G71" i="11"/>
  <c r="F71" i="11"/>
  <c r="E71" i="11"/>
  <c r="D71" i="11"/>
  <c r="C71" i="11"/>
  <c r="H119" i="10"/>
  <c r="G119" i="10"/>
  <c r="F119" i="10"/>
  <c r="E119" i="10"/>
  <c r="D119" i="10"/>
  <c r="C119" i="10"/>
  <c r="H116" i="10"/>
  <c r="G116" i="10"/>
  <c r="F116" i="10"/>
  <c r="E116" i="10"/>
  <c r="D116" i="10"/>
  <c r="C116" i="10"/>
  <c r="H115" i="10"/>
  <c r="G115" i="10"/>
  <c r="F115" i="10"/>
  <c r="E115" i="10"/>
  <c r="D115" i="10"/>
  <c r="C115" i="10"/>
  <c r="H114" i="10"/>
  <c r="G114" i="10"/>
  <c r="F114" i="10"/>
  <c r="E114" i="10"/>
  <c r="D114" i="10"/>
  <c r="C114" i="10"/>
  <c r="H113" i="10"/>
  <c r="G113" i="10"/>
  <c r="F113" i="10"/>
  <c r="E113" i="10"/>
  <c r="D113" i="10"/>
  <c r="C113" i="10"/>
  <c r="H110" i="10"/>
  <c r="G110" i="10"/>
  <c r="F110" i="10"/>
  <c r="E110" i="10"/>
  <c r="D110" i="10"/>
  <c r="C110" i="10"/>
  <c r="H109" i="10"/>
  <c r="G109" i="10"/>
  <c r="F109" i="10"/>
  <c r="E109" i="10"/>
  <c r="D109" i="10"/>
  <c r="C109" i="10"/>
  <c r="H108" i="10"/>
  <c r="G108" i="10"/>
  <c r="F108" i="10"/>
  <c r="E108" i="10"/>
  <c r="D108" i="10"/>
  <c r="C108" i="10"/>
  <c r="H82" i="10"/>
  <c r="G82" i="10"/>
  <c r="F82" i="10"/>
  <c r="E82" i="10"/>
  <c r="D82" i="10"/>
  <c r="C82" i="10"/>
  <c r="H79" i="10"/>
  <c r="G79" i="10"/>
  <c r="F79" i="10"/>
  <c r="E79" i="10"/>
  <c r="D79" i="10"/>
  <c r="C79" i="10"/>
  <c r="H78" i="10"/>
  <c r="G78" i="10"/>
  <c r="F78" i="10"/>
  <c r="E78" i="10"/>
  <c r="D78" i="10"/>
  <c r="C78" i="10"/>
  <c r="H77" i="10"/>
  <c r="G77" i="10"/>
  <c r="F77" i="10"/>
  <c r="E77" i="10"/>
  <c r="D77" i="10"/>
  <c r="C77" i="10"/>
  <c r="H76" i="10"/>
  <c r="G76" i="10"/>
  <c r="F76" i="10"/>
  <c r="E76" i="10"/>
  <c r="D76" i="10"/>
  <c r="C76" i="10"/>
  <c r="H73" i="10"/>
  <c r="G73" i="10"/>
  <c r="F73" i="10"/>
  <c r="E73" i="10"/>
  <c r="D73" i="10"/>
  <c r="C73" i="10"/>
  <c r="H72" i="10"/>
  <c r="G72" i="10"/>
  <c r="F72" i="10"/>
  <c r="E72" i="10"/>
  <c r="D72" i="10"/>
  <c r="C72" i="10"/>
  <c r="H71" i="10"/>
  <c r="C71" i="10"/>
  <c r="H44" i="11"/>
  <c r="H43" i="11"/>
  <c r="H42" i="11"/>
  <c r="H41" i="11"/>
  <c r="H39" i="11"/>
  <c r="H37" i="11"/>
  <c r="H38" i="11" s="1"/>
  <c r="H35" i="11"/>
  <c r="H34" i="11"/>
  <c r="H40" i="11" s="1"/>
  <c r="E34" i="11"/>
  <c r="H20" i="11"/>
  <c r="G20" i="11"/>
  <c r="E20" i="11"/>
  <c r="D20" i="11"/>
  <c r="C20" i="11"/>
  <c r="G19" i="11"/>
  <c r="F19" i="11"/>
  <c r="E19" i="11"/>
  <c r="D19" i="11"/>
  <c r="H18" i="11"/>
  <c r="G18" i="11"/>
  <c r="F18" i="11"/>
  <c r="F203" i="10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H36" i="11" l="1"/>
  <c r="H45" i="11"/>
  <c r="BI125" i="1" l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J125" i="1"/>
  <c r="BI114" i="1"/>
  <c r="BH114" i="1"/>
  <c r="BG114" i="1"/>
  <c r="BF114" i="1"/>
  <c r="BE114" i="1"/>
  <c r="BD114" i="1"/>
  <c r="BC114" i="1"/>
  <c r="BB114" i="1"/>
  <c r="BA114" i="1"/>
  <c r="AZ114" i="1"/>
  <c r="AY114" i="1"/>
  <c r="BJ114" i="1"/>
  <c r="BI100" i="1"/>
  <c r="BH100" i="1"/>
  <c r="BG100" i="1"/>
  <c r="BF100" i="1"/>
  <c r="BE100" i="1"/>
  <c r="BD100" i="1"/>
  <c r="BC100" i="1"/>
  <c r="BB100" i="1"/>
  <c r="BA100" i="1"/>
  <c r="AZ100" i="1"/>
  <c r="AY100" i="1"/>
  <c r="AU100" i="1"/>
  <c r="BJ100" i="1"/>
  <c r="BI95" i="1"/>
  <c r="BH95" i="1"/>
  <c r="BG95" i="1"/>
  <c r="BF95" i="1"/>
  <c r="BE95" i="1"/>
  <c r="BD95" i="1"/>
  <c r="BC95" i="1"/>
  <c r="BB95" i="1"/>
  <c r="BB94" i="1" s="1"/>
  <c r="BA95" i="1"/>
  <c r="AZ95" i="1"/>
  <c r="AY95" i="1"/>
  <c r="AX95" i="1"/>
  <c r="AW95" i="1"/>
  <c r="AV95" i="1"/>
  <c r="AU95" i="1"/>
  <c r="AT95" i="1"/>
  <c r="AT94" i="1" s="1"/>
  <c r="AS95" i="1"/>
  <c r="AR95" i="1"/>
  <c r="AQ95" i="1"/>
  <c r="AP95" i="1"/>
  <c r="AO95" i="1"/>
  <c r="AN95" i="1"/>
  <c r="AM95" i="1"/>
  <c r="AL95" i="1"/>
  <c r="AL94" i="1" s="1"/>
  <c r="AK95" i="1"/>
  <c r="AJ95" i="1"/>
  <c r="AI95" i="1"/>
  <c r="AH95" i="1"/>
  <c r="AG95" i="1"/>
  <c r="AF95" i="1"/>
  <c r="AE95" i="1"/>
  <c r="AD95" i="1"/>
  <c r="AD94" i="1" s="1"/>
  <c r="AC95" i="1"/>
  <c r="AB95" i="1"/>
  <c r="AB94" i="1" s="1"/>
  <c r="AA95" i="1"/>
  <c r="Z95" i="1"/>
  <c r="Y95" i="1"/>
  <c r="X95" i="1"/>
  <c r="W95" i="1"/>
  <c r="V95" i="1"/>
  <c r="V94" i="1" s="1"/>
  <c r="U95" i="1"/>
  <c r="T95" i="1"/>
  <c r="S95" i="1"/>
  <c r="R95" i="1"/>
  <c r="Q95" i="1"/>
  <c r="P95" i="1"/>
  <c r="O95" i="1"/>
  <c r="N95" i="1"/>
  <c r="N94" i="1" s="1"/>
  <c r="M95" i="1"/>
  <c r="L95" i="1"/>
  <c r="L94" i="1" s="1"/>
  <c r="K95" i="1"/>
  <c r="J95" i="1"/>
  <c r="I95" i="1"/>
  <c r="H95" i="1"/>
  <c r="G95" i="1"/>
  <c r="F95" i="1"/>
  <c r="F94" i="1" s="1"/>
  <c r="E95" i="1"/>
  <c r="D95" i="1"/>
  <c r="D94" i="1" s="1"/>
  <c r="C95" i="1"/>
  <c r="BJ95" i="1"/>
  <c r="BI94" i="1"/>
  <c r="BH94" i="1"/>
  <c r="BG94" i="1"/>
  <c r="BF94" i="1"/>
  <c r="BE94" i="1"/>
  <c r="BD94" i="1"/>
  <c r="BC94" i="1"/>
  <c r="BA94" i="1"/>
  <c r="AZ94" i="1"/>
  <c r="AY94" i="1"/>
  <c r="AX94" i="1"/>
  <c r="AW94" i="1"/>
  <c r="AV94" i="1"/>
  <c r="AU94" i="1"/>
  <c r="AS94" i="1"/>
  <c r="AR94" i="1"/>
  <c r="AQ94" i="1"/>
  <c r="AP94" i="1"/>
  <c r="AO94" i="1"/>
  <c r="AN94" i="1"/>
  <c r="AM94" i="1"/>
  <c r="AK94" i="1"/>
  <c r="AJ94" i="1"/>
  <c r="AI94" i="1"/>
  <c r="AH94" i="1"/>
  <c r="AG94" i="1"/>
  <c r="AF94" i="1"/>
  <c r="AE94" i="1"/>
  <c r="AC94" i="1"/>
  <c r="AA94" i="1"/>
  <c r="Z94" i="1"/>
  <c r="Y94" i="1"/>
  <c r="X94" i="1"/>
  <c r="W94" i="1"/>
  <c r="U94" i="1"/>
  <c r="T94" i="1"/>
  <c r="S94" i="1"/>
  <c r="R94" i="1"/>
  <c r="Q94" i="1"/>
  <c r="P94" i="1"/>
  <c r="O94" i="1"/>
  <c r="M94" i="1"/>
  <c r="K94" i="1"/>
  <c r="J94" i="1"/>
  <c r="I94" i="1"/>
  <c r="H94" i="1"/>
  <c r="G94" i="1"/>
  <c r="E94" i="1"/>
  <c r="C94" i="1"/>
  <c r="BJ94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J60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J35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J29" i="1"/>
  <c r="AP56" i="1" l="1"/>
  <c r="AP49" i="1" s="1"/>
  <c r="AO56" i="1"/>
  <c r="AO49" i="1" s="1"/>
  <c r="AN56" i="1"/>
  <c r="AN49" i="1" s="1"/>
  <c r="AM56" i="1"/>
  <c r="AM49" i="1" s="1"/>
  <c r="AL56" i="1"/>
  <c r="AL49" i="1" s="1"/>
  <c r="AK56" i="1"/>
  <c r="AK49" i="1" s="1"/>
  <c r="AJ56" i="1"/>
  <c r="AJ49" i="1" s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I134" i="1" l="1"/>
  <c r="BE134" i="1"/>
  <c r="BA134" i="1"/>
  <c r="BI131" i="1"/>
  <c r="BE131" i="1"/>
  <c r="BA131" i="1"/>
  <c r="BI132" i="1"/>
  <c r="BE132" i="1"/>
  <c r="BA132" i="1"/>
  <c r="BI130" i="1"/>
  <c r="BE130" i="1"/>
  <c r="BA130" i="1"/>
  <c r="AX130" i="1"/>
  <c r="AW130" i="1"/>
  <c r="AV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I128" i="1"/>
  <c r="BE128" i="1"/>
  <c r="BA128" i="1"/>
  <c r="BI129" i="1"/>
  <c r="BE129" i="1"/>
  <c r="BA129" i="1"/>
  <c r="BI127" i="1"/>
  <c r="BE127" i="1"/>
  <c r="BA127" i="1"/>
  <c r="BI126" i="1"/>
  <c r="BE126" i="1"/>
  <c r="BA126" i="1"/>
  <c r="BI123" i="1"/>
  <c r="BE123" i="1"/>
  <c r="BA123" i="1"/>
  <c r="AW123" i="1"/>
  <c r="AV123" i="1"/>
  <c r="AT123" i="1"/>
  <c r="AS123" i="1"/>
  <c r="AR123" i="1"/>
  <c r="AQ123" i="1"/>
  <c r="AP123" i="1"/>
  <c r="AO123" i="1"/>
  <c r="BI122" i="1"/>
  <c r="BE122" i="1"/>
  <c r="BA122" i="1"/>
  <c r="BI121" i="1"/>
  <c r="BE121" i="1"/>
  <c r="BA121" i="1"/>
  <c r="AX121" i="1"/>
  <c r="AX114" i="1" s="1"/>
  <c r="AW121" i="1"/>
  <c r="AW114" i="1" s="1"/>
  <c r="AV121" i="1"/>
  <c r="AV114" i="1" s="1"/>
  <c r="AU121" i="1"/>
  <c r="AU114" i="1" s="1"/>
  <c r="AT121" i="1"/>
  <c r="AT114" i="1" s="1"/>
  <c r="AS121" i="1"/>
  <c r="AS114" i="1" s="1"/>
  <c r="AR121" i="1"/>
  <c r="AR114" i="1" s="1"/>
  <c r="AQ121" i="1"/>
  <c r="AQ114" i="1" s="1"/>
  <c r="AP121" i="1"/>
  <c r="AP114" i="1" s="1"/>
  <c r="AO121" i="1"/>
  <c r="AO114" i="1" s="1"/>
  <c r="AN121" i="1"/>
  <c r="AN114" i="1" s="1"/>
  <c r="AM121" i="1"/>
  <c r="AM114" i="1" s="1"/>
  <c r="AL121" i="1"/>
  <c r="AL114" i="1" s="1"/>
  <c r="AK121" i="1"/>
  <c r="AK114" i="1" s="1"/>
  <c r="AJ121" i="1"/>
  <c r="AJ114" i="1" s="1"/>
  <c r="AI121" i="1"/>
  <c r="AI114" i="1" s="1"/>
  <c r="AH121" i="1"/>
  <c r="AH114" i="1" s="1"/>
  <c r="AG121" i="1"/>
  <c r="AG114" i="1" s="1"/>
  <c r="AF121" i="1"/>
  <c r="AF114" i="1" s="1"/>
  <c r="AE121" i="1"/>
  <c r="AE114" i="1" s="1"/>
  <c r="AD121" i="1"/>
  <c r="AD114" i="1" s="1"/>
  <c r="AC121" i="1"/>
  <c r="AC114" i="1" s="1"/>
  <c r="AB121" i="1"/>
  <c r="AB114" i="1" s="1"/>
  <c r="AA121" i="1"/>
  <c r="AA114" i="1" s="1"/>
  <c r="Z121" i="1"/>
  <c r="Z114" i="1" s="1"/>
  <c r="Y121" i="1"/>
  <c r="Y114" i="1" s="1"/>
  <c r="X121" i="1"/>
  <c r="X114" i="1" s="1"/>
  <c r="W121" i="1"/>
  <c r="W114" i="1" s="1"/>
  <c r="V121" i="1"/>
  <c r="V114" i="1" s="1"/>
  <c r="U121" i="1"/>
  <c r="U114" i="1" s="1"/>
  <c r="T121" i="1"/>
  <c r="T114" i="1" s="1"/>
  <c r="S121" i="1"/>
  <c r="S114" i="1" s="1"/>
  <c r="R121" i="1"/>
  <c r="R114" i="1" s="1"/>
  <c r="Q121" i="1"/>
  <c r="Q114" i="1" s="1"/>
  <c r="P121" i="1"/>
  <c r="P114" i="1" s="1"/>
  <c r="O121" i="1"/>
  <c r="O114" i="1" s="1"/>
  <c r="N121" i="1"/>
  <c r="N114" i="1" s="1"/>
  <c r="M121" i="1"/>
  <c r="M114" i="1" s="1"/>
  <c r="L121" i="1"/>
  <c r="L114" i="1" s="1"/>
  <c r="K121" i="1"/>
  <c r="K114" i="1" s="1"/>
  <c r="J121" i="1"/>
  <c r="J114" i="1" s="1"/>
  <c r="I121" i="1"/>
  <c r="I114" i="1" s="1"/>
  <c r="H121" i="1"/>
  <c r="H114" i="1" s="1"/>
  <c r="G121" i="1"/>
  <c r="G114" i="1" s="1"/>
  <c r="F121" i="1"/>
  <c r="F114" i="1" s="1"/>
  <c r="E121" i="1"/>
  <c r="E114" i="1" s="1"/>
  <c r="D121" i="1"/>
  <c r="D114" i="1" s="1"/>
  <c r="C121" i="1"/>
  <c r="C114" i="1" s="1"/>
  <c r="BI119" i="1"/>
  <c r="BE119" i="1"/>
  <c r="BA119" i="1"/>
  <c r="BI118" i="1"/>
  <c r="BE118" i="1"/>
  <c r="BA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I117" i="1"/>
  <c r="BE117" i="1"/>
  <c r="BA117" i="1"/>
  <c r="BI116" i="1"/>
  <c r="BE116" i="1"/>
  <c r="BA116" i="1"/>
  <c r="BI115" i="1"/>
  <c r="BE115" i="1"/>
  <c r="BA115" i="1"/>
  <c r="BI112" i="1"/>
  <c r="BE112" i="1"/>
  <c r="BA112" i="1"/>
  <c r="AX112" i="1"/>
  <c r="AW112" i="1"/>
  <c r="AT112" i="1"/>
  <c r="AS112" i="1"/>
  <c r="BC111" i="1"/>
  <c r="BB111" i="1"/>
  <c r="AZ111" i="1"/>
  <c r="AY111" i="1"/>
  <c r="BI110" i="1"/>
  <c r="BE110" i="1"/>
  <c r="BA110" i="1"/>
  <c r="BI109" i="1"/>
  <c r="BE109" i="1"/>
  <c r="BA109" i="1"/>
  <c r="AX109" i="1"/>
  <c r="AX100" i="1" s="1"/>
  <c r="AW109" i="1"/>
  <c r="AW100" i="1" s="1"/>
  <c r="AV109" i="1"/>
  <c r="AV100" i="1" s="1"/>
  <c r="AT109" i="1"/>
  <c r="AT100" i="1" s="1"/>
  <c r="AS109" i="1"/>
  <c r="AS100" i="1" s="1"/>
  <c r="AR109" i="1"/>
  <c r="AR100" i="1" s="1"/>
  <c r="AQ109" i="1"/>
  <c r="AQ100" i="1" s="1"/>
  <c r="AP109" i="1"/>
  <c r="AP100" i="1" s="1"/>
  <c r="AO109" i="1"/>
  <c r="AO100" i="1" s="1"/>
  <c r="AN109" i="1"/>
  <c r="AN100" i="1" s="1"/>
  <c r="AM109" i="1"/>
  <c r="AM100" i="1" s="1"/>
  <c r="AL109" i="1"/>
  <c r="AL100" i="1" s="1"/>
  <c r="AK109" i="1"/>
  <c r="AK100" i="1" s="1"/>
  <c r="AJ109" i="1"/>
  <c r="AJ100" i="1" s="1"/>
  <c r="AI109" i="1"/>
  <c r="AI100" i="1" s="1"/>
  <c r="AH109" i="1"/>
  <c r="AH100" i="1" s="1"/>
  <c r="AG109" i="1"/>
  <c r="AG100" i="1" s="1"/>
  <c r="AF109" i="1"/>
  <c r="AF100" i="1" s="1"/>
  <c r="AE109" i="1"/>
  <c r="AE100" i="1" s="1"/>
  <c r="AD109" i="1"/>
  <c r="AD100" i="1" s="1"/>
  <c r="AC109" i="1"/>
  <c r="AC100" i="1" s="1"/>
  <c r="AB109" i="1"/>
  <c r="AB100" i="1" s="1"/>
  <c r="AA109" i="1"/>
  <c r="AA100" i="1" s="1"/>
  <c r="Z109" i="1"/>
  <c r="Z100" i="1" s="1"/>
  <c r="Y109" i="1"/>
  <c r="Y100" i="1" s="1"/>
  <c r="X109" i="1"/>
  <c r="X100" i="1" s="1"/>
  <c r="W109" i="1"/>
  <c r="W100" i="1" s="1"/>
  <c r="V109" i="1"/>
  <c r="V100" i="1" s="1"/>
  <c r="U109" i="1"/>
  <c r="U100" i="1" s="1"/>
  <c r="T109" i="1"/>
  <c r="T100" i="1" s="1"/>
  <c r="S109" i="1"/>
  <c r="S100" i="1" s="1"/>
  <c r="R109" i="1"/>
  <c r="R100" i="1" s="1"/>
  <c r="Q109" i="1"/>
  <c r="Q100" i="1" s="1"/>
  <c r="P109" i="1"/>
  <c r="P100" i="1" s="1"/>
  <c r="O109" i="1"/>
  <c r="O100" i="1" s="1"/>
  <c r="N109" i="1"/>
  <c r="N100" i="1" s="1"/>
  <c r="M109" i="1"/>
  <c r="M100" i="1" s="1"/>
  <c r="L109" i="1"/>
  <c r="L100" i="1" s="1"/>
  <c r="K109" i="1"/>
  <c r="K100" i="1" s="1"/>
  <c r="J109" i="1"/>
  <c r="J100" i="1" s="1"/>
  <c r="I109" i="1"/>
  <c r="I100" i="1" s="1"/>
  <c r="H109" i="1"/>
  <c r="H100" i="1" s="1"/>
  <c r="G109" i="1"/>
  <c r="G100" i="1" s="1"/>
  <c r="F109" i="1"/>
  <c r="F100" i="1" s="1"/>
  <c r="E109" i="1"/>
  <c r="E100" i="1" s="1"/>
  <c r="D109" i="1"/>
  <c r="D100" i="1" s="1"/>
  <c r="C109" i="1"/>
  <c r="C100" i="1" s="1"/>
  <c r="BI107" i="1"/>
  <c r="BE107" i="1"/>
  <c r="BA107" i="1"/>
  <c r="BI106" i="1"/>
  <c r="BE106" i="1"/>
  <c r="BA106" i="1"/>
  <c r="AX106" i="1"/>
  <c r="AW106" i="1"/>
  <c r="AV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I105" i="1"/>
  <c r="BE105" i="1"/>
  <c r="BA105" i="1"/>
  <c r="BI104" i="1"/>
  <c r="BE104" i="1"/>
  <c r="BA104" i="1"/>
  <c r="BI103" i="1"/>
  <c r="BE103" i="1"/>
  <c r="BA103" i="1"/>
  <c r="BI102" i="1"/>
  <c r="BE102" i="1"/>
  <c r="BA102" i="1"/>
  <c r="BI101" i="1"/>
  <c r="BE101" i="1"/>
  <c r="BA101" i="1"/>
  <c r="AX68" i="1"/>
  <c r="AW68" i="1"/>
  <c r="AV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X65" i="1"/>
  <c r="AW65" i="1"/>
  <c r="AV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X58" i="1"/>
  <c r="AX56" i="1"/>
  <c r="AX49" i="1" s="1"/>
  <c r="AW56" i="1"/>
  <c r="AW49" i="1" s="1"/>
  <c r="AV56" i="1"/>
  <c r="AV49" i="1" s="1"/>
  <c r="AU56" i="1"/>
  <c r="AU49" i="1" s="1"/>
  <c r="AT56" i="1"/>
  <c r="AT49" i="1" s="1"/>
  <c r="AS56" i="1"/>
  <c r="AS49" i="1" s="1"/>
  <c r="AR56" i="1"/>
  <c r="AR49" i="1" s="1"/>
  <c r="AQ56" i="1"/>
  <c r="AQ49" i="1" s="1"/>
  <c r="AI56" i="1"/>
  <c r="AI49" i="1" s="1"/>
  <c r="AH56" i="1"/>
  <c r="AH49" i="1" s="1"/>
  <c r="AG56" i="1"/>
  <c r="AG49" i="1" s="1"/>
  <c r="AF56" i="1"/>
  <c r="AF49" i="1" s="1"/>
  <c r="AE56" i="1"/>
  <c r="AE49" i="1" s="1"/>
  <c r="AD56" i="1"/>
  <c r="AD49" i="1" s="1"/>
  <c r="AC56" i="1"/>
  <c r="AC49" i="1" s="1"/>
  <c r="AB56" i="1"/>
  <c r="AB49" i="1" s="1"/>
  <c r="AA56" i="1"/>
  <c r="AA49" i="1" s="1"/>
  <c r="Z56" i="1"/>
  <c r="Z49" i="1" s="1"/>
  <c r="Y56" i="1"/>
  <c r="Y49" i="1" s="1"/>
  <c r="X56" i="1"/>
  <c r="X49" i="1" s="1"/>
  <c r="W56" i="1"/>
  <c r="W49" i="1" s="1"/>
  <c r="V56" i="1"/>
  <c r="V49" i="1" s="1"/>
  <c r="U56" i="1"/>
  <c r="U49" i="1" s="1"/>
  <c r="T56" i="1"/>
  <c r="T49" i="1" s="1"/>
  <c r="S56" i="1"/>
  <c r="S49" i="1" s="1"/>
  <c r="R56" i="1"/>
  <c r="R49" i="1" s="1"/>
  <c r="Q56" i="1"/>
  <c r="Q49" i="1" s="1"/>
  <c r="P56" i="1"/>
  <c r="P49" i="1" s="1"/>
  <c r="O56" i="1"/>
  <c r="O49" i="1" s="1"/>
  <c r="N56" i="1"/>
  <c r="N49" i="1" s="1"/>
  <c r="M56" i="1"/>
  <c r="M49" i="1" s="1"/>
  <c r="L56" i="1"/>
  <c r="L49" i="1" s="1"/>
  <c r="K56" i="1"/>
  <c r="K49" i="1" s="1"/>
  <c r="J56" i="1"/>
  <c r="J49" i="1" s="1"/>
  <c r="I56" i="1"/>
  <c r="I49" i="1" s="1"/>
  <c r="H56" i="1"/>
  <c r="H49" i="1" s="1"/>
  <c r="G56" i="1"/>
  <c r="G49" i="1" s="1"/>
  <c r="F56" i="1"/>
  <c r="F49" i="1" s="1"/>
  <c r="E56" i="1"/>
  <c r="E49" i="1" s="1"/>
  <c r="D56" i="1"/>
  <c r="D49" i="1" s="1"/>
  <c r="C56" i="1"/>
  <c r="C49" i="1" s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W47" i="1"/>
  <c r="AT47" i="1"/>
  <c r="AS47" i="1"/>
  <c r="AX44" i="1"/>
  <c r="AW44" i="1"/>
  <c r="AV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1" i="1"/>
  <c r="AW41" i="1"/>
  <c r="AV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U124" i="1"/>
  <c r="E124" i="1"/>
  <c r="E113" i="1"/>
  <c r="E99" i="1"/>
  <c r="E97" i="1"/>
  <c r="E96" i="1"/>
  <c r="I124" i="1"/>
  <c r="I113" i="1"/>
  <c r="I99" i="1"/>
  <c r="I97" i="1"/>
  <c r="I96" i="1"/>
  <c r="M124" i="1"/>
  <c r="M113" i="1"/>
  <c r="M99" i="1"/>
  <c r="M97" i="1"/>
  <c r="M96" i="1"/>
  <c r="Q124" i="1"/>
  <c r="Q113" i="1"/>
  <c r="Q99" i="1"/>
  <c r="Q97" i="1"/>
  <c r="Q96" i="1"/>
  <c r="U113" i="1"/>
  <c r="U99" i="1"/>
  <c r="U97" i="1"/>
  <c r="U96" i="1"/>
  <c r="Y124" i="1"/>
  <c r="Y113" i="1"/>
  <c r="Y99" i="1"/>
  <c r="Y97" i="1"/>
  <c r="Y96" i="1"/>
  <c r="AC124" i="1"/>
  <c r="AC113" i="1"/>
  <c r="AC99" i="1"/>
  <c r="AC97" i="1"/>
  <c r="AC96" i="1"/>
  <c r="AG124" i="1"/>
  <c r="AG113" i="1"/>
  <c r="AG99" i="1"/>
  <c r="AG97" i="1"/>
  <c r="AG96" i="1"/>
  <c r="AK124" i="1"/>
  <c r="AK113" i="1"/>
  <c r="AK99" i="1"/>
  <c r="AK97" i="1"/>
  <c r="AK96" i="1"/>
  <c r="AO124" i="1"/>
  <c r="AO113" i="1"/>
  <c r="AO99" i="1"/>
  <c r="AO97" i="1"/>
  <c r="AO96" i="1"/>
  <c r="AS124" i="1"/>
  <c r="AS113" i="1"/>
  <c r="AS99" i="1"/>
  <c r="AS98" i="1"/>
  <c r="AS97" i="1"/>
  <c r="AS96" i="1"/>
  <c r="AW124" i="1"/>
  <c r="AW113" i="1"/>
  <c r="AW99" i="1"/>
  <c r="AW98" i="1"/>
  <c r="AW97" i="1"/>
  <c r="AW96" i="1"/>
  <c r="BA124" i="1"/>
  <c r="BA113" i="1"/>
  <c r="BA99" i="1"/>
  <c r="BA98" i="1"/>
  <c r="BA97" i="1"/>
  <c r="BA96" i="1"/>
  <c r="BE124" i="1"/>
  <c r="BE113" i="1"/>
  <c r="BE99" i="1"/>
  <c r="BE98" i="1"/>
  <c r="BE97" i="1"/>
  <c r="BE96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I78" i="1"/>
  <c r="BH78" i="1"/>
  <c r="BG78" i="1"/>
  <c r="BF78" i="1"/>
  <c r="BE78" i="1"/>
  <c r="BD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I75" i="1"/>
  <c r="BH75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I111" i="1" l="1"/>
  <c r="BA111" i="1"/>
  <c r="BE111" i="1"/>
  <c r="BJ74" i="1" l="1"/>
  <c r="BJ92" i="1" l="1"/>
  <c r="BJ91" i="1"/>
  <c r="BJ90" i="1"/>
  <c r="BJ89" i="1"/>
  <c r="BJ88" i="1"/>
  <c r="BJ87" i="1"/>
  <c r="BJ86" i="1"/>
  <c r="BJ85" i="1"/>
  <c r="BJ84" i="1"/>
  <c r="BJ83" i="1"/>
  <c r="BJ82" i="1"/>
  <c r="BJ80" i="1"/>
  <c r="BJ79" i="1"/>
  <c r="BJ78" i="1"/>
  <c r="BJ77" i="1"/>
  <c r="BJ76" i="1"/>
  <c r="BJ75" i="1"/>
  <c r="BJ73" i="1"/>
  <c r="H145" i="11"/>
  <c r="G145" i="11"/>
  <c r="F145" i="11"/>
  <c r="E145" i="11"/>
  <c r="D145" i="11"/>
  <c r="C145" i="11"/>
  <c r="H142" i="11"/>
  <c r="G142" i="11"/>
  <c r="F142" i="11"/>
  <c r="E142" i="11"/>
  <c r="D142" i="11"/>
  <c r="C142" i="11"/>
  <c r="H141" i="11"/>
  <c r="G141" i="11"/>
  <c r="F141" i="11"/>
  <c r="E141" i="11"/>
  <c r="D141" i="11"/>
  <c r="C141" i="11"/>
  <c r="H140" i="11"/>
  <c r="G140" i="11"/>
  <c r="F140" i="11"/>
  <c r="E140" i="11"/>
  <c r="D140" i="11"/>
  <c r="C140" i="11"/>
  <c r="H135" i="11"/>
  <c r="G135" i="11"/>
  <c r="F135" i="11"/>
  <c r="E135" i="11"/>
  <c r="D135" i="11"/>
  <c r="C135" i="11"/>
  <c r="H132" i="11"/>
  <c r="G132" i="11"/>
  <c r="F132" i="11"/>
  <c r="E132" i="11"/>
  <c r="D132" i="11"/>
  <c r="C132" i="11"/>
  <c r="H131" i="11"/>
  <c r="G131" i="11"/>
  <c r="F131" i="11"/>
  <c r="E131" i="11"/>
  <c r="D131" i="11"/>
  <c r="C131" i="11"/>
  <c r="H130" i="11"/>
  <c r="G130" i="11"/>
  <c r="F130" i="11"/>
  <c r="E130" i="11"/>
  <c r="D130" i="11"/>
  <c r="C130" i="11"/>
  <c r="H129" i="11"/>
  <c r="G129" i="11"/>
  <c r="F129" i="11"/>
  <c r="E129" i="11"/>
  <c r="D129" i="11"/>
  <c r="C129" i="11"/>
  <c r="H126" i="11"/>
  <c r="G126" i="11"/>
  <c r="F126" i="11"/>
  <c r="E126" i="11"/>
  <c r="D126" i="11"/>
  <c r="C126" i="11"/>
  <c r="H125" i="11"/>
  <c r="G125" i="11"/>
  <c r="F125" i="11"/>
  <c r="E125" i="11"/>
  <c r="D125" i="11"/>
  <c r="C125" i="11"/>
  <c r="H124" i="11"/>
  <c r="G124" i="11"/>
  <c r="F124" i="11"/>
  <c r="E124" i="11"/>
  <c r="D124" i="11"/>
  <c r="C124" i="11"/>
  <c r="H64" i="11"/>
  <c r="G64" i="11"/>
  <c r="F64" i="11"/>
  <c r="E64" i="11"/>
  <c r="D64" i="11"/>
  <c r="C64" i="11"/>
  <c r="H63" i="11"/>
  <c r="G63" i="11"/>
  <c r="F63" i="11"/>
  <c r="E63" i="11"/>
  <c r="D63" i="11"/>
  <c r="C63" i="11"/>
  <c r="H62" i="11"/>
  <c r="G62" i="11"/>
  <c r="F62" i="11"/>
  <c r="E62" i="11"/>
  <c r="D62" i="11"/>
  <c r="C62" i="11"/>
  <c r="H58" i="11"/>
  <c r="G58" i="11"/>
  <c r="F58" i="11"/>
  <c r="E58" i="11"/>
  <c r="D58" i="11"/>
  <c r="C58" i="11"/>
  <c r="H57" i="11"/>
  <c r="G57" i="11"/>
  <c r="F57" i="11"/>
  <c r="E57" i="11"/>
  <c r="D57" i="11"/>
  <c r="C57" i="11"/>
  <c r="H56" i="11"/>
  <c r="G56" i="11"/>
  <c r="F56" i="11"/>
  <c r="E56" i="11"/>
  <c r="D56" i="11"/>
  <c r="C56" i="11"/>
  <c r="H52" i="11"/>
  <c r="G52" i="11"/>
  <c r="F52" i="11"/>
  <c r="E52" i="11"/>
  <c r="D52" i="11"/>
  <c r="C52" i="11"/>
  <c r="H51" i="11"/>
  <c r="G51" i="11"/>
  <c r="F51" i="11"/>
  <c r="E51" i="11"/>
  <c r="D51" i="11"/>
  <c r="C51" i="11"/>
  <c r="H50" i="11"/>
  <c r="G50" i="11"/>
  <c r="F50" i="11"/>
  <c r="E50" i="11"/>
  <c r="D50" i="11"/>
  <c r="C50" i="11"/>
  <c r="H28" i="11"/>
  <c r="G28" i="11"/>
  <c r="F28" i="11"/>
  <c r="E28" i="11"/>
  <c r="D28" i="11"/>
  <c r="C28" i="11"/>
  <c r="H27" i="11"/>
  <c r="G27" i="11"/>
  <c r="F27" i="11"/>
  <c r="E27" i="11"/>
  <c r="D27" i="11"/>
  <c r="C27" i="11"/>
  <c r="H26" i="11"/>
  <c r="G26" i="11"/>
  <c r="F26" i="11"/>
  <c r="E26" i="11"/>
  <c r="D26" i="11"/>
  <c r="C26" i="11"/>
  <c r="H25" i="11"/>
  <c r="G25" i="11"/>
  <c r="F25" i="11"/>
  <c r="E25" i="11"/>
  <c r="D25" i="11"/>
  <c r="C25" i="11"/>
  <c r="H23" i="11"/>
  <c r="G23" i="11"/>
  <c r="F23" i="11"/>
  <c r="E23" i="11"/>
  <c r="D23" i="11"/>
  <c r="C23" i="11"/>
  <c r="H21" i="11"/>
  <c r="G21" i="11"/>
  <c r="F21" i="11"/>
  <c r="E21" i="11"/>
  <c r="D21" i="11"/>
  <c r="C21" i="11"/>
  <c r="H19" i="11"/>
  <c r="C19" i="11"/>
  <c r="E18" i="11"/>
  <c r="D18" i="11"/>
  <c r="C18" i="11"/>
  <c r="AV124" i="9"/>
  <c r="AU124" i="9"/>
  <c r="AT124" i="9"/>
  <c r="AS124" i="9"/>
  <c r="AR124" i="9"/>
  <c r="AV123" i="9"/>
  <c r="AU123" i="9"/>
  <c r="AT123" i="9"/>
  <c r="AS123" i="9"/>
  <c r="AR123" i="9"/>
  <c r="AQ123" i="9"/>
  <c r="AP123" i="9"/>
  <c r="AO123" i="9"/>
  <c r="AN123" i="9"/>
  <c r="AM123" i="9"/>
  <c r="AL123" i="9"/>
  <c r="AK123" i="9"/>
  <c r="AJ123" i="9"/>
  <c r="AI123" i="9"/>
  <c r="AH123" i="9"/>
  <c r="AG123" i="9"/>
  <c r="AF123" i="9"/>
  <c r="AE123" i="9"/>
  <c r="AD123" i="9"/>
  <c r="AC123" i="9"/>
  <c r="AB123" i="9"/>
  <c r="AA123" i="9"/>
  <c r="Z123" i="9"/>
  <c r="Y123" i="9"/>
  <c r="X123" i="9"/>
  <c r="W123" i="9"/>
  <c r="V123" i="9"/>
  <c r="U123" i="9"/>
  <c r="T123" i="9"/>
  <c r="S123" i="9"/>
  <c r="R123" i="9"/>
  <c r="Q123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C123" i="9"/>
  <c r="AU122" i="9"/>
  <c r="AT122" i="9"/>
  <c r="AS122" i="9"/>
  <c r="AR122" i="9"/>
  <c r="AQ122" i="9"/>
  <c r="AP122" i="9"/>
  <c r="AO122" i="9"/>
  <c r="AN122" i="9"/>
  <c r="AM122" i="9"/>
  <c r="AL122" i="9"/>
  <c r="AK122" i="9"/>
  <c r="AJ122" i="9"/>
  <c r="AI122" i="9"/>
  <c r="AH122" i="9"/>
  <c r="AF122" i="9"/>
  <c r="AE122" i="9"/>
  <c r="AD122" i="9"/>
  <c r="AC122" i="9"/>
  <c r="AB122" i="9"/>
  <c r="AA122" i="9"/>
  <c r="Z122" i="9"/>
  <c r="Y122" i="9"/>
  <c r="X122" i="9"/>
  <c r="W122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C122" i="9"/>
  <c r="AV121" i="9"/>
  <c r="AU121" i="9"/>
  <c r="AT121" i="9"/>
  <c r="AS121" i="9"/>
  <c r="AR121" i="9"/>
  <c r="AQ121" i="9"/>
  <c r="AP121" i="9"/>
  <c r="AO121" i="9"/>
  <c r="AN121" i="9"/>
  <c r="AM121" i="9"/>
  <c r="AL121" i="9"/>
  <c r="AK121" i="9"/>
  <c r="AJ121" i="9"/>
  <c r="AI121" i="9"/>
  <c r="AH121" i="9"/>
  <c r="AG121" i="9"/>
  <c r="AF121" i="9"/>
  <c r="AE121" i="9"/>
  <c r="AD121" i="9"/>
  <c r="AC121" i="9"/>
  <c r="AB121" i="9"/>
  <c r="AA121" i="9"/>
  <c r="Z121" i="9"/>
  <c r="Y121" i="9"/>
  <c r="X121" i="9"/>
  <c r="W121" i="9"/>
  <c r="V121" i="9"/>
  <c r="U121" i="9"/>
  <c r="T121" i="9"/>
  <c r="S121" i="9"/>
  <c r="R121" i="9"/>
  <c r="Q121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C121" i="9"/>
  <c r="AV120" i="9"/>
  <c r="AU120" i="9"/>
  <c r="AT120" i="9"/>
  <c r="AS120" i="9"/>
  <c r="AR120" i="9"/>
  <c r="AQ120" i="9"/>
  <c r="AP120" i="9"/>
  <c r="AO120" i="9"/>
  <c r="AN120" i="9"/>
  <c r="AM120" i="9"/>
  <c r="AL120" i="9"/>
  <c r="AK120" i="9"/>
  <c r="AJ120" i="9"/>
  <c r="AI120" i="9"/>
  <c r="AH120" i="9"/>
  <c r="AG120" i="9"/>
  <c r="AF120" i="9"/>
  <c r="AE120" i="9"/>
  <c r="AD120" i="9"/>
  <c r="AC120" i="9"/>
  <c r="AB120" i="9"/>
  <c r="AA120" i="9"/>
  <c r="Z120" i="9"/>
  <c r="Y120" i="9"/>
  <c r="W120" i="9"/>
  <c r="V120" i="9"/>
  <c r="U120" i="9"/>
  <c r="T120" i="9"/>
  <c r="S120" i="9"/>
  <c r="R120" i="9"/>
  <c r="Q120" i="9"/>
  <c r="P120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C120" i="9"/>
  <c r="AV115" i="9"/>
  <c r="AU115" i="9"/>
  <c r="AS115" i="9"/>
  <c r="AR115" i="9"/>
  <c r="AV114" i="9"/>
  <c r="AU114" i="9"/>
  <c r="AT114" i="9"/>
  <c r="AS114" i="9"/>
  <c r="AR114" i="9"/>
  <c r="AQ114" i="9"/>
  <c r="AP114" i="9"/>
  <c r="AO114" i="9"/>
  <c r="AN114" i="9"/>
  <c r="AM114" i="9"/>
  <c r="AL114" i="9"/>
  <c r="AK114" i="9"/>
  <c r="AJ114" i="9"/>
  <c r="AI114" i="9"/>
  <c r="AH114" i="9"/>
  <c r="AG114" i="9"/>
  <c r="AF114" i="9"/>
  <c r="AE114" i="9"/>
  <c r="AD114" i="9"/>
  <c r="AC114" i="9"/>
  <c r="AB114" i="9"/>
  <c r="AA114" i="9"/>
  <c r="Z114" i="9"/>
  <c r="Y114" i="9"/>
  <c r="X114" i="9"/>
  <c r="W114" i="9"/>
  <c r="V114" i="9"/>
  <c r="U114" i="9"/>
  <c r="T114" i="9"/>
  <c r="S114" i="9"/>
  <c r="R114" i="9"/>
  <c r="Q114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C114" i="9"/>
  <c r="AU113" i="9"/>
  <c r="AT113" i="9"/>
  <c r="AS113" i="9"/>
  <c r="AR113" i="9"/>
  <c r="AQ113" i="9"/>
  <c r="AP113" i="9"/>
  <c r="AO113" i="9"/>
  <c r="AN113" i="9"/>
  <c r="AM113" i="9"/>
  <c r="AL113" i="9"/>
  <c r="AK113" i="9"/>
  <c r="AJ113" i="9"/>
  <c r="AI113" i="9"/>
  <c r="AH113" i="9"/>
  <c r="AG113" i="9"/>
  <c r="AF113" i="9"/>
  <c r="AE113" i="9"/>
  <c r="AD113" i="9"/>
  <c r="AC113" i="9"/>
  <c r="AB113" i="9"/>
  <c r="AA113" i="9"/>
  <c r="Z113" i="9"/>
  <c r="Y113" i="9"/>
  <c r="X113" i="9"/>
  <c r="W113" i="9"/>
  <c r="V113" i="9"/>
  <c r="U113" i="9"/>
  <c r="T113" i="9"/>
  <c r="S113" i="9"/>
  <c r="R113" i="9"/>
  <c r="Q113" i="9"/>
  <c r="P113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C113" i="9"/>
  <c r="AV112" i="9"/>
  <c r="AU112" i="9"/>
  <c r="AT112" i="9"/>
  <c r="AS112" i="9"/>
  <c r="AR112" i="9"/>
  <c r="AQ112" i="9"/>
  <c r="AP112" i="9"/>
  <c r="AO112" i="9"/>
  <c r="AN112" i="9"/>
  <c r="AM112" i="9"/>
  <c r="AL112" i="9"/>
  <c r="AK112" i="9"/>
  <c r="AJ112" i="9"/>
  <c r="AI112" i="9"/>
  <c r="AH112" i="9"/>
  <c r="AG112" i="9"/>
  <c r="AF112" i="9"/>
  <c r="AE112" i="9"/>
  <c r="AD112" i="9"/>
  <c r="AC112" i="9"/>
  <c r="AB112" i="9"/>
  <c r="AA112" i="9"/>
  <c r="Z112" i="9"/>
  <c r="Y112" i="9"/>
  <c r="X112" i="9"/>
  <c r="W112" i="9"/>
  <c r="V112" i="9"/>
  <c r="U112" i="9"/>
  <c r="T112" i="9"/>
  <c r="S112" i="9"/>
  <c r="R112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C112" i="9"/>
  <c r="AV111" i="9"/>
  <c r="AU111" i="9"/>
  <c r="AT111" i="9"/>
  <c r="AS111" i="9"/>
  <c r="AR111" i="9"/>
  <c r="AQ111" i="9"/>
  <c r="AP111" i="9"/>
  <c r="AO111" i="9"/>
  <c r="AN111" i="9"/>
  <c r="AM111" i="9"/>
  <c r="AL111" i="9"/>
  <c r="AK111" i="9"/>
  <c r="AJ111" i="9"/>
  <c r="AI111" i="9"/>
  <c r="AH111" i="9"/>
  <c r="AG111" i="9"/>
  <c r="AF111" i="9"/>
  <c r="AE111" i="9"/>
  <c r="AD111" i="9"/>
  <c r="AC111" i="9"/>
  <c r="AB111" i="9"/>
  <c r="AA111" i="9"/>
  <c r="Z111" i="9"/>
  <c r="Y111" i="9"/>
  <c r="X111" i="9"/>
  <c r="W111" i="9"/>
  <c r="V111" i="9"/>
  <c r="U111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AV110" i="9"/>
  <c r="AU110" i="9"/>
  <c r="AT110" i="9"/>
  <c r="AS110" i="9"/>
  <c r="AR110" i="9"/>
  <c r="AV109" i="9"/>
  <c r="AU109" i="9"/>
  <c r="AT109" i="9"/>
  <c r="AS109" i="9"/>
  <c r="AR109" i="9"/>
  <c r="AQ109" i="9"/>
  <c r="AP109" i="9"/>
  <c r="AO109" i="9"/>
  <c r="AN109" i="9"/>
  <c r="AM109" i="9"/>
  <c r="AL109" i="9"/>
  <c r="AK109" i="9"/>
  <c r="AJ109" i="9"/>
  <c r="AI109" i="9"/>
  <c r="AH109" i="9"/>
  <c r="AG109" i="9"/>
  <c r="AF109" i="9"/>
  <c r="AE109" i="9"/>
  <c r="AD109" i="9"/>
  <c r="AC109" i="9"/>
  <c r="AB109" i="9"/>
  <c r="AA109" i="9"/>
  <c r="Z109" i="9"/>
  <c r="Y109" i="9"/>
  <c r="X109" i="9"/>
  <c r="W109" i="9"/>
  <c r="V109" i="9"/>
  <c r="U109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AU108" i="9"/>
  <c r="AT108" i="9"/>
  <c r="AS108" i="9"/>
  <c r="AR108" i="9"/>
  <c r="AQ108" i="9"/>
  <c r="AP108" i="9"/>
  <c r="AO108" i="9"/>
  <c r="AN108" i="9"/>
  <c r="AM108" i="9"/>
  <c r="AL108" i="9"/>
  <c r="AK108" i="9"/>
  <c r="AJ108" i="9"/>
  <c r="AI108" i="9"/>
  <c r="AH108" i="9"/>
  <c r="AG108" i="9"/>
  <c r="AF108" i="9"/>
  <c r="AE108" i="9"/>
  <c r="AD108" i="9"/>
  <c r="AC108" i="9"/>
  <c r="AB108" i="9"/>
  <c r="AA108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AV107" i="9"/>
  <c r="AU107" i="9"/>
  <c r="AT107" i="9"/>
  <c r="AS107" i="9"/>
  <c r="AR107" i="9"/>
  <c r="AQ107" i="9"/>
  <c r="AP107" i="9"/>
  <c r="AO107" i="9"/>
  <c r="AN107" i="9"/>
  <c r="AM107" i="9"/>
  <c r="AL107" i="9"/>
  <c r="AK107" i="9"/>
  <c r="AJ107" i="9"/>
  <c r="AI107" i="9"/>
  <c r="AH107" i="9"/>
  <c r="AG107" i="9"/>
  <c r="AF107" i="9"/>
  <c r="AE107" i="9"/>
  <c r="AD107" i="9"/>
  <c r="AC107" i="9"/>
  <c r="AB107" i="9"/>
  <c r="AA107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AV106" i="9"/>
  <c r="AU106" i="9"/>
  <c r="AT106" i="9"/>
  <c r="AS106" i="9"/>
  <c r="AR106" i="9"/>
  <c r="AQ106" i="9"/>
  <c r="AP106" i="9"/>
  <c r="AO106" i="9"/>
  <c r="AN106" i="9"/>
  <c r="AM106" i="9"/>
  <c r="AL106" i="9"/>
  <c r="AK106" i="9"/>
  <c r="AJ106" i="9"/>
  <c r="AI106" i="9"/>
  <c r="AH106" i="9"/>
  <c r="AG106" i="9"/>
  <c r="AF106" i="9"/>
  <c r="AE106" i="9"/>
  <c r="AD106" i="9"/>
  <c r="AC106" i="9"/>
  <c r="AB106" i="9"/>
  <c r="AA106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C106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AV69" i="9"/>
  <c r="AU69" i="9"/>
  <c r="AT69" i="9"/>
  <c r="AS69" i="9"/>
  <c r="AR69" i="9"/>
  <c r="AQ69" i="9"/>
  <c r="AP69" i="9"/>
  <c r="AO69" i="9"/>
  <c r="AN69" i="9"/>
  <c r="AM69" i="9"/>
  <c r="AL69" i="9"/>
  <c r="AK69" i="9"/>
  <c r="AJ69" i="9"/>
  <c r="AI69" i="9"/>
  <c r="AH69" i="9"/>
  <c r="AG69" i="9"/>
  <c r="AF69" i="9"/>
  <c r="AE69" i="9"/>
  <c r="AD69" i="9"/>
  <c r="AC69" i="9"/>
  <c r="AB69" i="9"/>
  <c r="AA69" i="9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AV68" i="9"/>
  <c r="AU68" i="9"/>
  <c r="AT68" i="9"/>
  <c r="AS68" i="9"/>
  <c r="AR68" i="9"/>
  <c r="AQ68" i="9"/>
  <c r="AP68" i="9"/>
  <c r="AO68" i="9"/>
  <c r="AN68" i="9"/>
  <c r="AM68" i="9"/>
  <c r="AL68" i="9"/>
  <c r="AK68" i="9"/>
  <c r="AJ68" i="9"/>
  <c r="AI68" i="9"/>
  <c r="AH68" i="9"/>
  <c r="AG68" i="9"/>
  <c r="AF68" i="9"/>
  <c r="AE68" i="9"/>
  <c r="AD68" i="9"/>
  <c r="AC68" i="9"/>
  <c r="AB68" i="9"/>
  <c r="AA68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M64" i="9"/>
  <c r="L64" i="9"/>
  <c r="K64" i="9"/>
  <c r="J64" i="9"/>
  <c r="I64" i="9"/>
  <c r="H64" i="9"/>
  <c r="G64" i="9"/>
  <c r="F64" i="9"/>
  <c r="E64" i="9"/>
  <c r="D64" i="9"/>
  <c r="C64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AV27" i="9"/>
  <c r="AU27" i="9"/>
  <c r="AT27" i="9"/>
  <c r="AS27" i="9"/>
  <c r="AR27" i="9"/>
  <c r="AQ27" i="9"/>
  <c r="AP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C188" i="2"/>
  <c r="C189" i="2"/>
  <c r="C190" i="2"/>
  <c r="R212" i="6"/>
  <c r="R211" i="6"/>
  <c r="R208" i="6"/>
  <c r="R210" i="6" s="1"/>
  <c r="Q212" i="6"/>
  <c r="Q211" i="6"/>
  <c r="Q208" i="6"/>
  <c r="Q210" i="6" s="1"/>
  <c r="P212" i="6"/>
  <c r="P211" i="6"/>
  <c r="P208" i="6"/>
  <c r="P210" i="6" s="1"/>
  <c r="O212" i="6"/>
  <c r="O211" i="6"/>
  <c r="O210" i="6"/>
  <c r="O208" i="6"/>
  <c r="O209" i="6" s="1"/>
  <c r="N212" i="6"/>
  <c r="N211" i="6"/>
  <c r="N210" i="6"/>
  <c r="N208" i="6"/>
  <c r="N209" i="6" s="1"/>
  <c r="M212" i="6"/>
  <c r="M211" i="6"/>
  <c r="M208" i="6"/>
  <c r="M210" i="6" s="1"/>
  <c r="L212" i="6"/>
  <c r="L211" i="6"/>
  <c r="L208" i="6"/>
  <c r="L210" i="6" s="1"/>
  <c r="K212" i="6"/>
  <c r="K211" i="6"/>
  <c r="K208" i="6"/>
  <c r="K210" i="6" s="1"/>
  <c r="J212" i="6"/>
  <c r="J211" i="6"/>
  <c r="J208" i="6"/>
  <c r="J210" i="6" s="1"/>
  <c r="I212" i="6"/>
  <c r="I211" i="6"/>
  <c r="I208" i="6"/>
  <c r="I210" i="6" s="1"/>
  <c r="H212" i="6"/>
  <c r="H211" i="6"/>
  <c r="H208" i="6"/>
  <c r="H209" i="6" s="1"/>
  <c r="G212" i="6"/>
  <c r="G211" i="6"/>
  <c r="G208" i="6"/>
  <c r="G210" i="6" s="1"/>
  <c r="F212" i="6"/>
  <c r="F211" i="6"/>
  <c r="F208" i="6"/>
  <c r="F209" i="6" s="1"/>
  <c r="E212" i="6"/>
  <c r="E211" i="6"/>
  <c r="E208" i="6"/>
  <c r="E210" i="6" s="1"/>
  <c r="D212" i="6"/>
  <c r="D211" i="6"/>
  <c r="D208" i="6"/>
  <c r="D210" i="6" s="1"/>
  <c r="C212" i="6"/>
  <c r="C211" i="6"/>
  <c r="C208" i="6"/>
  <c r="C210" i="6" s="1"/>
  <c r="R209" i="6" l="1"/>
  <c r="Q209" i="6"/>
  <c r="P209" i="6"/>
  <c r="M209" i="6"/>
  <c r="L209" i="6"/>
  <c r="K209" i="6"/>
  <c r="J209" i="6"/>
  <c r="I209" i="6"/>
  <c r="H210" i="6"/>
  <c r="G209" i="6"/>
  <c r="F210" i="6"/>
  <c r="E209" i="6"/>
  <c r="D209" i="6"/>
  <c r="C209" i="6"/>
  <c r="F193" i="10"/>
  <c r="E193" i="10"/>
  <c r="E187" i="10"/>
  <c r="H24" i="11"/>
  <c r="H22" i="11"/>
  <c r="G93" i="11"/>
  <c r="G42" i="11"/>
  <c r="G39" i="11"/>
  <c r="G34" i="11"/>
  <c r="F67" i="11"/>
  <c r="F24" i="11"/>
  <c r="E101" i="11"/>
  <c r="D89" i="11"/>
  <c r="C88" i="11"/>
  <c r="C41" i="11"/>
  <c r="C37" i="11"/>
  <c r="C35" i="11"/>
  <c r="D34" i="11"/>
  <c r="G100" i="11"/>
  <c r="E42" i="11"/>
  <c r="C42" i="11"/>
  <c r="G101" i="11"/>
  <c r="C100" i="11"/>
  <c r="E95" i="11"/>
  <c r="C95" i="11"/>
  <c r="D94" i="11"/>
  <c r="C94" i="11"/>
  <c r="E93" i="11"/>
  <c r="C93" i="11"/>
  <c r="G89" i="11"/>
  <c r="G88" i="11"/>
  <c r="C87" i="11"/>
  <c r="G43" i="11"/>
  <c r="D43" i="11"/>
  <c r="C43" i="11"/>
  <c r="G41" i="11"/>
  <c r="D41" i="11"/>
  <c r="D39" i="11"/>
  <c r="C39" i="11"/>
  <c r="G37" i="11"/>
  <c r="E22" i="11"/>
  <c r="G35" i="11"/>
  <c r="F34" i="11"/>
  <c r="H217" i="10"/>
  <c r="G217" i="10"/>
  <c r="H216" i="10"/>
  <c r="G216" i="10"/>
  <c r="H215" i="10"/>
  <c r="G215" i="10"/>
  <c r="H214" i="10"/>
  <c r="G214" i="10"/>
  <c r="F214" i="10"/>
  <c r="E214" i="10"/>
  <c r="D214" i="10"/>
  <c r="C214" i="10"/>
  <c r="H213" i="10"/>
  <c r="G213" i="10"/>
  <c r="F213" i="10"/>
  <c r="E213" i="10"/>
  <c r="D213" i="10"/>
  <c r="C213" i="10"/>
  <c r="H212" i="10"/>
  <c r="G212" i="10"/>
  <c r="F212" i="10"/>
  <c r="E212" i="10"/>
  <c r="D212" i="10"/>
  <c r="C212" i="10"/>
  <c r="H211" i="10"/>
  <c r="G211" i="10"/>
  <c r="F211" i="10"/>
  <c r="E211" i="10"/>
  <c r="D211" i="10"/>
  <c r="C211" i="10"/>
  <c r="G210" i="10"/>
  <c r="H209" i="10"/>
  <c r="E209" i="10"/>
  <c r="D209" i="10"/>
  <c r="H208" i="10"/>
  <c r="H210" i="10" s="1"/>
  <c r="G208" i="10"/>
  <c r="G209" i="10" s="1"/>
  <c r="F208" i="10"/>
  <c r="F210" i="10" s="1"/>
  <c r="E208" i="10"/>
  <c r="E210" i="10" s="1"/>
  <c r="D208" i="10"/>
  <c r="D210" i="10" s="1"/>
  <c r="C208" i="10"/>
  <c r="C209" i="10" s="1"/>
  <c r="H203" i="10"/>
  <c r="G203" i="10"/>
  <c r="E203" i="10"/>
  <c r="D203" i="10"/>
  <c r="H193" i="10"/>
  <c r="G193" i="10"/>
  <c r="D193" i="10"/>
  <c r="C193" i="10"/>
  <c r="H187" i="10"/>
  <c r="G187" i="10"/>
  <c r="F187" i="10"/>
  <c r="D187" i="10"/>
  <c r="C187" i="10"/>
  <c r="H174" i="10"/>
  <c r="G174" i="10"/>
  <c r="F174" i="10"/>
  <c r="E174" i="10"/>
  <c r="D174" i="10"/>
  <c r="C174" i="10"/>
  <c r="G172" i="10"/>
  <c r="F172" i="10"/>
  <c r="H171" i="10"/>
  <c r="H172" i="10" s="1"/>
  <c r="G171" i="10"/>
  <c r="F171" i="10"/>
  <c r="E171" i="10"/>
  <c r="E172" i="10" s="1"/>
  <c r="D171" i="10"/>
  <c r="D172" i="10" s="1"/>
  <c r="C171" i="10"/>
  <c r="C172" i="10" s="1"/>
  <c r="G167" i="10"/>
  <c r="F167" i="10"/>
  <c r="E167" i="10"/>
  <c r="D167" i="10"/>
  <c r="C167" i="10"/>
  <c r="H104" i="10"/>
  <c r="G104" i="10"/>
  <c r="F104" i="10"/>
  <c r="E104" i="10"/>
  <c r="D104" i="10"/>
  <c r="C104" i="10"/>
  <c r="H101" i="10"/>
  <c r="G101" i="10"/>
  <c r="F101" i="10"/>
  <c r="E101" i="10"/>
  <c r="D101" i="10"/>
  <c r="C101" i="10"/>
  <c r="H100" i="10"/>
  <c r="G100" i="10"/>
  <c r="F100" i="10"/>
  <c r="E100" i="10"/>
  <c r="D100" i="10"/>
  <c r="C100" i="10"/>
  <c r="H99" i="10"/>
  <c r="G99" i="10"/>
  <c r="F99" i="10"/>
  <c r="E99" i="10"/>
  <c r="D99" i="10"/>
  <c r="C99" i="10"/>
  <c r="H98" i="10"/>
  <c r="G98" i="10"/>
  <c r="F98" i="10"/>
  <c r="E98" i="10"/>
  <c r="D98" i="10"/>
  <c r="C98" i="10"/>
  <c r="H95" i="10"/>
  <c r="G95" i="10"/>
  <c r="F95" i="10"/>
  <c r="E95" i="10"/>
  <c r="D95" i="10"/>
  <c r="C95" i="10"/>
  <c r="H94" i="10"/>
  <c r="G94" i="10"/>
  <c r="F94" i="10"/>
  <c r="E94" i="10"/>
  <c r="D94" i="10"/>
  <c r="C94" i="10"/>
  <c r="H93" i="10"/>
  <c r="G93" i="10"/>
  <c r="F93" i="10"/>
  <c r="E93" i="10"/>
  <c r="D93" i="10"/>
  <c r="C93" i="10"/>
  <c r="H92" i="10"/>
  <c r="G92" i="10"/>
  <c r="F92" i="10"/>
  <c r="E92" i="10"/>
  <c r="D92" i="10"/>
  <c r="C92" i="10"/>
  <c r="H89" i="10"/>
  <c r="G89" i="10"/>
  <c r="F89" i="10"/>
  <c r="E89" i="10"/>
  <c r="D89" i="10"/>
  <c r="C89" i="10"/>
  <c r="H88" i="10"/>
  <c r="G88" i="10"/>
  <c r="F88" i="10"/>
  <c r="E88" i="10"/>
  <c r="D88" i="10"/>
  <c r="C88" i="10"/>
  <c r="H87" i="10"/>
  <c r="G87" i="10"/>
  <c r="F87" i="10"/>
  <c r="E87" i="10"/>
  <c r="D87" i="10"/>
  <c r="C87" i="10"/>
  <c r="H67" i="10"/>
  <c r="G67" i="10"/>
  <c r="F67" i="10"/>
  <c r="E67" i="10"/>
  <c r="D67" i="10"/>
  <c r="C67" i="10"/>
  <c r="H61" i="10"/>
  <c r="G61" i="10"/>
  <c r="F61" i="10"/>
  <c r="E61" i="10"/>
  <c r="D61" i="10"/>
  <c r="C61" i="10"/>
  <c r="H55" i="10"/>
  <c r="G55" i="10"/>
  <c r="F55" i="10"/>
  <c r="E55" i="10"/>
  <c r="D55" i="10"/>
  <c r="C55" i="10"/>
  <c r="H29" i="10"/>
  <c r="G29" i="10"/>
  <c r="F29" i="10"/>
  <c r="E29" i="10"/>
  <c r="D29" i="10"/>
  <c r="C29" i="10"/>
  <c r="H24" i="10"/>
  <c r="G24" i="10"/>
  <c r="F24" i="10"/>
  <c r="E24" i="10"/>
  <c r="D24" i="10"/>
  <c r="C24" i="10"/>
  <c r="H22" i="10"/>
  <c r="G22" i="10"/>
  <c r="F22" i="10"/>
  <c r="E22" i="10"/>
  <c r="D22" i="10"/>
  <c r="C22" i="10"/>
  <c r="H20" i="10"/>
  <c r="G20" i="10"/>
  <c r="F20" i="10"/>
  <c r="E20" i="10"/>
  <c r="D20" i="10"/>
  <c r="C20" i="10"/>
  <c r="G40" i="11" l="1"/>
  <c r="G38" i="11"/>
  <c r="F39" i="11"/>
  <c r="F40" i="11" s="1"/>
  <c r="F100" i="11"/>
  <c r="F43" i="11"/>
  <c r="E35" i="11"/>
  <c r="E88" i="11"/>
  <c r="C34" i="11"/>
  <c r="C40" i="11" s="1"/>
  <c r="C89" i="11"/>
  <c r="G67" i="11"/>
  <c r="G104" i="11" s="1"/>
  <c r="H55" i="11"/>
  <c r="H67" i="11"/>
  <c r="H29" i="11"/>
  <c r="H61" i="11"/>
  <c r="D35" i="11"/>
  <c r="D36" i="11" s="1"/>
  <c r="F37" i="11"/>
  <c r="F38" i="11" s="1"/>
  <c r="C24" i="11"/>
  <c r="D42" i="11"/>
  <c r="D88" i="11"/>
  <c r="F42" i="11"/>
  <c r="D44" i="11"/>
  <c r="F88" i="11"/>
  <c r="E94" i="11"/>
  <c r="F94" i="11"/>
  <c r="E41" i="11"/>
  <c r="D61" i="11"/>
  <c r="E43" i="11"/>
  <c r="E89" i="11"/>
  <c r="G55" i="11"/>
  <c r="G92" i="11" s="1"/>
  <c r="F22" i="11"/>
  <c r="E39" i="11"/>
  <c r="E40" i="11" s="1"/>
  <c r="D24" i="11"/>
  <c r="G95" i="11"/>
  <c r="D40" i="11"/>
  <c r="G44" i="11"/>
  <c r="G45" i="11" s="1"/>
  <c r="G29" i="11"/>
  <c r="G22" i="11"/>
  <c r="E24" i="11"/>
  <c r="C67" i="11"/>
  <c r="C99" i="11"/>
  <c r="G24" i="11"/>
  <c r="F41" i="11"/>
  <c r="C29" i="11"/>
  <c r="C44" i="11"/>
  <c r="D45" i="11"/>
  <c r="F35" i="11"/>
  <c r="F36" i="11" s="1"/>
  <c r="D37" i="11"/>
  <c r="D38" i="11" s="1"/>
  <c r="C22" i="11"/>
  <c r="E44" i="11"/>
  <c r="E45" i="11" s="1"/>
  <c r="E29" i="11"/>
  <c r="F29" i="11"/>
  <c r="E36" i="11"/>
  <c r="D29" i="11"/>
  <c r="G36" i="11"/>
  <c r="F20" i="11"/>
  <c r="E37" i="11"/>
  <c r="E38" i="11" s="1"/>
  <c r="D22" i="11"/>
  <c r="F44" i="11"/>
  <c r="F45" i="11" s="1"/>
  <c r="F55" i="11"/>
  <c r="F89" i="11"/>
  <c r="C55" i="11"/>
  <c r="C92" i="11" s="1"/>
  <c r="E61" i="11"/>
  <c r="D99" i="11"/>
  <c r="F101" i="11"/>
  <c r="D55" i="11"/>
  <c r="F61" i="11"/>
  <c r="E99" i="11"/>
  <c r="D100" i="11"/>
  <c r="C101" i="11"/>
  <c r="D95" i="11"/>
  <c r="E55" i="11"/>
  <c r="G61" i="11"/>
  <c r="F99" i="11"/>
  <c r="E100" i="11"/>
  <c r="D101" i="11"/>
  <c r="G99" i="11"/>
  <c r="F93" i="11"/>
  <c r="D93" i="11"/>
  <c r="D67" i="11"/>
  <c r="G94" i="11"/>
  <c r="F95" i="11"/>
  <c r="C61" i="11"/>
  <c r="E67" i="11"/>
  <c r="F209" i="10"/>
  <c r="C210" i="10"/>
  <c r="D92" i="11" l="1"/>
  <c r="C45" i="11"/>
  <c r="C36" i="11"/>
  <c r="C38" i="11"/>
  <c r="C98" i="11"/>
  <c r="E104" i="11"/>
  <c r="F104" i="11"/>
  <c r="C104" i="11"/>
  <c r="D98" i="11"/>
  <c r="F92" i="11"/>
  <c r="F98" i="11"/>
  <c r="E98" i="11"/>
  <c r="D104" i="11"/>
  <c r="G98" i="11"/>
  <c r="E92" i="11"/>
  <c r="R213" i="6" l="1"/>
  <c r="BI124" i="1" l="1"/>
  <c r="BI113" i="1"/>
  <c r="BI99" i="1"/>
  <c r="BI98" i="1"/>
  <c r="BI97" i="1"/>
  <c r="BI96" i="1"/>
  <c r="R214" i="6" l="1"/>
  <c r="R20" i="8" l="1"/>
  <c r="R22" i="8"/>
  <c r="R55" i="8"/>
  <c r="R29" i="8"/>
  <c r="R67" i="8"/>
  <c r="R61" i="8"/>
  <c r="R24" i="8"/>
  <c r="R174" i="6"/>
  <c r="R171" i="6"/>
  <c r="R27" i="6"/>
  <c r="R25" i="6"/>
  <c r="R104" i="6" l="1"/>
  <c r="R103" i="6"/>
  <c r="R102" i="6"/>
  <c r="R101" i="6"/>
  <c r="R100" i="6"/>
  <c r="R99" i="6"/>
  <c r="R98" i="6"/>
  <c r="R97" i="6"/>
  <c r="R96" i="6"/>
  <c r="R95" i="6"/>
  <c r="R94" i="6"/>
  <c r="R93" i="6"/>
  <c r="R92" i="6"/>
  <c r="R91" i="6"/>
  <c r="R90" i="6"/>
  <c r="R89" i="6"/>
  <c r="R88" i="6"/>
  <c r="R87" i="6"/>
  <c r="R44" i="6"/>
  <c r="R42" i="6"/>
  <c r="R39" i="6"/>
  <c r="R37" i="6"/>
  <c r="R35" i="6"/>
  <c r="R34" i="6"/>
  <c r="R29" i="6"/>
  <c r="R24" i="6"/>
  <c r="R22" i="6"/>
  <c r="R20" i="6"/>
  <c r="R36" i="6" l="1"/>
  <c r="R40" i="6"/>
  <c r="R38" i="6"/>
  <c r="R45" i="6"/>
  <c r="O213" i="6" l="1"/>
  <c r="O214" i="6"/>
  <c r="R103" i="8" l="1"/>
  <c r="R102" i="8"/>
  <c r="R101" i="8"/>
  <c r="R100" i="8"/>
  <c r="R99" i="8"/>
  <c r="R97" i="8"/>
  <c r="R96" i="8"/>
  <c r="R95" i="8"/>
  <c r="R94" i="8"/>
  <c r="R93" i="8"/>
  <c r="R91" i="8"/>
  <c r="R90" i="8"/>
  <c r="R89" i="8"/>
  <c r="R88" i="8"/>
  <c r="R87" i="8"/>
  <c r="R44" i="8"/>
  <c r="R42" i="8"/>
  <c r="R39" i="8"/>
  <c r="R37" i="8"/>
  <c r="R35" i="8"/>
  <c r="R34" i="8"/>
  <c r="Q214" i="6"/>
  <c r="Q213" i="6"/>
  <c r="Q174" i="6"/>
  <c r="Q171" i="6"/>
  <c r="P214" i="6"/>
  <c r="P213" i="6"/>
  <c r="Q27" i="6"/>
  <c r="R43" i="6" s="1"/>
  <c r="Q25" i="6"/>
  <c r="R41" i="6" s="1"/>
  <c r="P174" i="6"/>
  <c r="P171" i="6"/>
  <c r="P92" i="6"/>
  <c r="Q44" i="6"/>
  <c r="P44" i="6"/>
  <c r="Q42" i="6"/>
  <c r="P42" i="6"/>
  <c r="Q39" i="6"/>
  <c r="P39" i="6"/>
  <c r="Q37" i="6"/>
  <c r="P37" i="6"/>
  <c r="Q35" i="6"/>
  <c r="P35" i="6"/>
  <c r="Q34" i="6"/>
  <c r="P34" i="6"/>
  <c r="P27" i="6"/>
  <c r="P25" i="6"/>
  <c r="Q104" i="6"/>
  <c r="Q103" i="6"/>
  <c r="Q102" i="6"/>
  <c r="Q101" i="6"/>
  <c r="Q100" i="6"/>
  <c r="Q99" i="6"/>
  <c r="Q98" i="6"/>
  <c r="Q97" i="6"/>
  <c r="Q96" i="6"/>
  <c r="Q95" i="6"/>
  <c r="Q94" i="6"/>
  <c r="Q93" i="6"/>
  <c r="Q92" i="6"/>
  <c r="Q91" i="6"/>
  <c r="Q90" i="6"/>
  <c r="Q89" i="6"/>
  <c r="Q88" i="6"/>
  <c r="Q87" i="6"/>
  <c r="Q29" i="6"/>
  <c r="Q24" i="6"/>
  <c r="Q22" i="6"/>
  <c r="Q20" i="6"/>
  <c r="P104" i="6"/>
  <c r="P103" i="6"/>
  <c r="P102" i="6"/>
  <c r="P101" i="6"/>
  <c r="P100" i="6"/>
  <c r="P99" i="6"/>
  <c r="P98" i="6"/>
  <c r="P97" i="6"/>
  <c r="P96" i="6"/>
  <c r="P95" i="6"/>
  <c r="P94" i="6"/>
  <c r="P93" i="6"/>
  <c r="P91" i="6"/>
  <c r="P90" i="6"/>
  <c r="P89" i="6"/>
  <c r="P88" i="6"/>
  <c r="P87" i="6"/>
  <c r="P29" i="6"/>
  <c r="P24" i="6"/>
  <c r="P22" i="6"/>
  <c r="P20" i="6"/>
  <c r="O174" i="6"/>
  <c r="O171" i="6"/>
  <c r="O27" i="6"/>
  <c r="O25" i="6"/>
  <c r="O29" i="6"/>
  <c r="O24" i="6"/>
  <c r="O22" i="6"/>
  <c r="O20" i="6"/>
  <c r="N214" i="6"/>
  <c r="N213" i="6"/>
  <c r="N174" i="6"/>
  <c r="N171" i="6"/>
  <c r="N27" i="6"/>
  <c r="N2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44" i="6"/>
  <c r="N42" i="6"/>
  <c r="N39" i="6"/>
  <c r="N37" i="6"/>
  <c r="N35" i="6"/>
  <c r="N34" i="6"/>
  <c r="N29" i="6"/>
  <c r="N24" i="6"/>
  <c r="N22" i="6"/>
  <c r="N20" i="6"/>
  <c r="R215" i="6" l="1"/>
  <c r="Q215" i="6"/>
  <c r="R216" i="6"/>
  <c r="R217" i="6"/>
  <c r="Q217" i="6"/>
  <c r="Q216" i="6"/>
  <c r="N43" i="6"/>
  <c r="Q43" i="6"/>
  <c r="P43" i="8"/>
  <c r="R43" i="8"/>
  <c r="R41" i="8"/>
  <c r="Q38" i="6"/>
  <c r="Q41" i="6"/>
  <c r="Q36" i="6"/>
  <c r="P43" i="6"/>
  <c r="Q40" i="6"/>
  <c r="P41" i="6"/>
  <c r="R45" i="8"/>
  <c r="R38" i="8"/>
  <c r="R40" i="8"/>
  <c r="R36" i="8"/>
  <c r="P90" i="8"/>
  <c r="Q96" i="8"/>
  <c r="N24" i="8"/>
  <c r="Q39" i="8"/>
  <c r="Q37" i="8"/>
  <c r="Q94" i="8"/>
  <c r="Q103" i="8"/>
  <c r="O29" i="8"/>
  <c r="O61" i="8"/>
  <c r="P41" i="8"/>
  <c r="N22" i="8"/>
  <c r="O55" i="8"/>
  <c r="Q99" i="8"/>
  <c r="Q55" i="8"/>
  <c r="R92" i="8" s="1"/>
  <c r="Q44" i="8"/>
  <c r="P89" i="8"/>
  <c r="Q91" i="8"/>
  <c r="P34" i="8"/>
  <c r="O22" i="8"/>
  <c r="P42" i="8"/>
  <c r="Q88" i="8"/>
  <c r="P91" i="8"/>
  <c r="Q95" i="8"/>
  <c r="P99" i="8"/>
  <c r="Q20" i="8"/>
  <c r="P37" i="8"/>
  <c r="P44" i="8"/>
  <c r="Q90" i="8"/>
  <c r="Q102" i="8"/>
  <c r="Q35" i="8"/>
  <c r="P24" i="8"/>
  <c r="Q42" i="8"/>
  <c r="P39" i="8"/>
  <c r="P88" i="8"/>
  <c r="P100" i="8"/>
  <c r="Q87" i="8"/>
  <c r="Q24" i="8"/>
  <c r="Q97" i="8"/>
  <c r="P97" i="8"/>
  <c r="P67" i="8"/>
  <c r="Q89" i="8"/>
  <c r="Q34" i="8"/>
  <c r="Q29" i="8"/>
  <c r="P94" i="8"/>
  <c r="P102" i="8"/>
  <c r="O24" i="8"/>
  <c r="P29" i="8"/>
  <c r="P61" i="8"/>
  <c r="Q61" i="8"/>
  <c r="R98" i="8" s="1"/>
  <c r="O67" i="8"/>
  <c r="P87" i="8"/>
  <c r="P95" i="8"/>
  <c r="Q100" i="8"/>
  <c r="P103" i="8"/>
  <c r="P22" i="8"/>
  <c r="Q67" i="8"/>
  <c r="R104" i="8" s="1"/>
  <c r="P93" i="8"/>
  <c r="P101" i="8"/>
  <c r="O20" i="8"/>
  <c r="Q22" i="8"/>
  <c r="Q93" i="8"/>
  <c r="P96" i="8"/>
  <c r="Q101" i="8"/>
  <c r="P20" i="8"/>
  <c r="P35" i="8"/>
  <c r="P55" i="8"/>
  <c r="N67" i="8"/>
  <c r="N55" i="8"/>
  <c r="N29" i="8"/>
  <c r="N20" i="8"/>
  <c r="N61" i="8"/>
  <c r="Q45" i="6"/>
  <c r="P38" i="6"/>
  <c r="P45" i="6"/>
  <c r="P36" i="6"/>
  <c r="P40" i="6"/>
  <c r="N36" i="6"/>
  <c r="N45" i="6"/>
  <c r="N38" i="6"/>
  <c r="N40" i="6"/>
  <c r="BG75" i="1"/>
  <c r="BD75" i="1"/>
  <c r="BF75" i="1"/>
  <c r="Q41" i="8" l="1"/>
  <c r="Q43" i="8"/>
  <c r="Q40" i="8"/>
  <c r="Q45" i="8"/>
  <c r="P36" i="8"/>
  <c r="P38" i="8"/>
  <c r="P92" i="8"/>
  <c r="P40" i="8"/>
  <c r="P45" i="8"/>
  <c r="Q36" i="8"/>
  <c r="Q38" i="8"/>
  <c r="Q98" i="8"/>
  <c r="P98" i="8"/>
  <c r="P104" i="8"/>
  <c r="Q104" i="8"/>
  <c r="Q92" i="8"/>
  <c r="BE75" i="1" l="1"/>
  <c r="N103" i="8"/>
  <c r="N102" i="8"/>
  <c r="N101" i="8"/>
  <c r="N100" i="8"/>
  <c r="N99" i="8"/>
  <c r="N97" i="8"/>
  <c r="N96" i="8"/>
  <c r="N95" i="8"/>
  <c r="N94" i="8"/>
  <c r="N93" i="8"/>
  <c r="N91" i="8"/>
  <c r="N90" i="8"/>
  <c r="N89" i="8"/>
  <c r="N88" i="8"/>
  <c r="N87" i="8"/>
  <c r="M213" i="6"/>
  <c r="M214" i="6"/>
  <c r="M171" i="6"/>
  <c r="M174" i="6"/>
  <c r="M29" i="6"/>
  <c r="M25" i="6"/>
  <c r="N41" i="6" s="1"/>
  <c r="M24" i="6"/>
  <c r="M22" i="6"/>
  <c r="M20" i="6"/>
  <c r="M55" i="8" l="1"/>
  <c r="N92" i="8" s="1"/>
  <c r="M67" i="8"/>
  <c r="N104" i="8" s="1"/>
  <c r="M61" i="8"/>
  <c r="N98" i="8" s="1"/>
  <c r="N37" i="8" l="1"/>
  <c r="N39" i="8"/>
  <c r="N41" i="8"/>
  <c r="N42" i="8"/>
  <c r="N43" i="8"/>
  <c r="N44" i="8"/>
  <c r="N35" i="8"/>
  <c r="N34" i="8"/>
  <c r="BC75" i="1"/>
  <c r="N38" i="8" l="1"/>
  <c r="N36" i="8"/>
  <c r="N45" i="8"/>
  <c r="N40" i="8"/>
  <c r="M20" i="8"/>
  <c r="M24" i="8"/>
  <c r="M22" i="8"/>
  <c r="M29" i="8"/>
  <c r="M87" i="6"/>
  <c r="M88" i="6" l="1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34" i="6"/>
  <c r="P215" i="6" s="1"/>
  <c r="M35" i="6"/>
  <c r="M37" i="6"/>
  <c r="M39" i="6"/>
  <c r="M42" i="6"/>
  <c r="M43" i="6"/>
  <c r="M44" i="6"/>
  <c r="M43" i="8"/>
  <c r="M42" i="8"/>
  <c r="M37" i="8"/>
  <c r="L214" i="6"/>
  <c r="L213" i="6"/>
  <c r="L174" i="6"/>
  <c r="L171" i="6"/>
  <c r="L44" i="6"/>
  <c r="L43" i="6"/>
  <c r="L42" i="6"/>
  <c r="L39" i="6"/>
  <c r="L37" i="6"/>
  <c r="L35" i="6"/>
  <c r="L34" i="6"/>
  <c r="O215" i="6" s="1"/>
  <c r="L29" i="6"/>
  <c r="L25" i="6"/>
  <c r="M41" i="6" s="1"/>
  <c r="L24" i="6"/>
  <c r="L22" i="6"/>
  <c r="L20" i="6"/>
  <c r="P217" i="6" l="1"/>
  <c r="P216" i="6"/>
  <c r="O217" i="6"/>
  <c r="O216" i="6"/>
  <c r="L38" i="6"/>
  <c r="M40" i="6"/>
  <c r="M36" i="6"/>
  <c r="M45" i="6"/>
  <c r="L40" i="6"/>
  <c r="L22" i="8"/>
  <c r="L36" i="6"/>
  <c r="L29" i="8"/>
  <c r="L20" i="8"/>
  <c r="M41" i="8"/>
  <c r="L45" i="6"/>
  <c r="L24" i="8"/>
  <c r="M38" i="6"/>
  <c r="M44" i="8"/>
  <c r="M34" i="8"/>
  <c r="M35" i="8"/>
  <c r="M39" i="8"/>
  <c r="M101" i="8"/>
  <c r="M100" i="8"/>
  <c r="M97" i="8"/>
  <c r="M96" i="8"/>
  <c r="M91" i="8"/>
  <c r="M90" i="8"/>
  <c r="M89" i="8"/>
  <c r="M88" i="8"/>
  <c r="M87" i="8"/>
  <c r="W20" i="9"/>
  <c r="AE20" i="9"/>
  <c r="AM20" i="9"/>
  <c r="AU20" i="9"/>
  <c r="D20" i="9"/>
  <c r="L20" i="9"/>
  <c r="T20" i="9"/>
  <c r="AJ20" i="9"/>
  <c r="AR20" i="9"/>
  <c r="D22" i="9"/>
  <c r="L22" i="9"/>
  <c r="T22" i="9"/>
  <c r="AB22" i="9"/>
  <c r="AJ22" i="9"/>
  <c r="AR22" i="9"/>
  <c r="D24" i="9"/>
  <c r="AJ24" i="9"/>
  <c r="AR24" i="9"/>
  <c r="AR29" i="9"/>
  <c r="AS29" i="9"/>
  <c r="AB24" i="9" l="1"/>
  <c r="T24" i="9"/>
  <c r="L24" i="9"/>
  <c r="AF20" i="9"/>
  <c r="O20" i="9"/>
  <c r="AG22" i="9"/>
  <c r="X20" i="9"/>
  <c r="G20" i="9"/>
  <c r="AO22" i="9"/>
  <c r="Y22" i="9"/>
  <c r="Q22" i="9"/>
  <c r="I22" i="9"/>
  <c r="AO20" i="9"/>
  <c r="AG20" i="9"/>
  <c r="Y20" i="9"/>
  <c r="Q20" i="9"/>
  <c r="AO24" i="9"/>
  <c r="AG24" i="9"/>
  <c r="Y24" i="9"/>
  <c r="Q24" i="9"/>
  <c r="I24" i="9"/>
  <c r="AN20" i="9"/>
  <c r="AS22" i="9"/>
  <c r="AK22" i="9"/>
  <c r="AC22" i="9"/>
  <c r="U22" i="9"/>
  <c r="M22" i="9"/>
  <c r="E22" i="9"/>
  <c r="AS24" i="9"/>
  <c r="AK24" i="9"/>
  <c r="AC24" i="9"/>
  <c r="U24" i="9"/>
  <c r="M24" i="9"/>
  <c r="E24" i="9"/>
  <c r="AS20" i="9"/>
  <c r="AK20" i="9"/>
  <c r="AC20" i="9"/>
  <c r="U20" i="9"/>
  <c r="M20" i="9"/>
  <c r="P20" i="9"/>
  <c r="AV29" i="9"/>
  <c r="AV24" i="9"/>
  <c r="AN24" i="9"/>
  <c r="AF24" i="9"/>
  <c r="X24" i="9"/>
  <c r="P24" i="9"/>
  <c r="H24" i="9"/>
  <c r="AQ20" i="9"/>
  <c r="AI20" i="9"/>
  <c r="AA20" i="9"/>
  <c r="S20" i="9"/>
  <c r="K20" i="9"/>
  <c r="AV22" i="9"/>
  <c r="AN22" i="9"/>
  <c r="AF22" i="9"/>
  <c r="X22" i="9"/>
  <c r="P22" i="9"/>
  <c r="H22" i="9"/>
  <c r="W22" i="9"/>
  <c r="AM22" i="9"/>
  <c r="E20" i="9"/>
  <c r="M45" i="8"/>
  <c r="M36" i="8"/>
  <c r="L67" i="8"/>
  <c r="M104" i="8" s="1"/>
  <c r="M99" i="8"/>
  <c r="M40" i="8"/>
  <c r="M38" i="8"/>
  <c r="M93" i="8"/>
  <c r="M102" i="8"/>
  <c r="M94" i="8"/>
  <c r="M103" i="8"/>
  <c r="M95" i="8"/>
  <c r="AH22" i="9"/>
  <c r="AV20" i="9"/>
  <c r="AB20" i="9"/>
  <c r="H20" i="9"/>
  <c r="R22" i="9"/>
  <c r="F22" i="9"/>
  <c r="AT22" i="9"/>
  <c r="AP22" i="9"/>
  <c r="AL22" i="9"/>
  <c r="AD22" i="9"/>
  <c r="Z22" i="9"/>
  <c r="V22" i="9"/>
  <c r="N22" i="9"/>
  <c r="J22" i="9"/>
  <c r="AT29" i="9"/>
  <c r="AT20" i="9"/>
  <c r="AP20" i="9"/>
  <c r="AL20" i="9"/>
  <c r="AH20" i="9"/>
  <c r="AD20" i="9"/>
  <c r="Z20" i="9"/>
  <c r="V20" i="9"/>
  <c r="R20" i="9"/>
  <c r="N20" i="9"/>
  <c r="J20" i="9"/>
  <c r="F20" i="9"/>
  <c r="I20" i="9"/>
  <c r="AQ29" i="9"/>
  <c r="L55" i="8"/>
  <c r="M92" i="8" s="1"/>
  <c r="L61" i="8"/>
  <c r="M98" i="8" s="1"/>
  <c r="AQ22" i="9"/>
  <c r="AA22" i="9"/>
  <c r="AU22" i="9"/>
  <c r="AE22" i="9"/>
  <c r="O22" i="9"/>
  <c r="AU29" i="9"/>
  <c r="AT24" i="9"/>
  <c r="AP24" i="9"/>
  <c r="AL24" i="9"/>
  <c r="AH24" i="9"/>
  <c r="AD24" i="9"/>
  <c r="Z24" i="9"/>
  <c r="V24" i="9"/>
  <c r="R24" i="9"/>
  <c r="N24" i="9"/>
  <c r="J24" i="9"/>
  <c r="F24" i="9"/>
  <c r="AI22" i="9"/>
  <c r="S22" i="9"/>
  <c r="G22" i="9"/>
  <c r="K22" i="9"/>
  <c r="AU24" i="9"/>
  <c r="AQ24" i="9"/>
  <c r="AM24" i="9"/>
  <c r="AI24" i="9"/>
  <c r="AE24" i="9"/>
  <c r="AA24" i="9"/>
  <c r="W24" i="9"/>
  <c r="S24" i="9"/>
  <c r="O24" i="9"/>
  <c r="K24" i="9"/>
  <c r="G24" i="9"/>
  <c r="AV101" i="9"/>
  <c r="AU101" i="9"/>
  <c r="AT101" i="9"/>
  <c r="AR101" i="9"/>
  <c r="AP101" i="9"/>
  <c r="AN101" i="9"/>
  <c r="AM101" i="9"/>
  <c r="AL101" i="9"/>
  <c r="AJ101" i="9"/>
  <c r="AI101" i="9"/>
  <c r="AH101" i="9"/>
  <c r="AF101" i="9"/>
  <c r="AE101" i="9"/>
  <c r="AD101" i="9"/>
  <c r="AB101" i="9"/>
  <c r="AA101" i="9"/>
  <c r="Z101" i="9"/>
  <c r="X101" i="9"/>
  <c r="W101" i="9"/>
  <c r="V101" i="9"/>
  <c r="T101" i="9"/>
  <c r="S101" i="9"/>
  <c r="R101" i="9"/>
  <c r="P101" i="9"/>
  <c r="O101" i="9"/>
  <c r="N101" i="9"/>
  <c r="L101" i="9"/>
  <c r="K101" i="9"/>
  <c r="J101" i="9"/>
  <c r="H101" i="9"/>
  <c r="G101" i="9"/>
  <c r="F101" i="9"/>
  <c r="E101" i="9"/>
  <c r="D101" i="9"/>
  <c r="AV100" i="9"/>
  <c r="AU100" i="9"/>
  <c r="AT100" i="9"/>
  <c r="AR100" i="9"/>
  <c r="AQ100" i="9"/>
  <c r="AP100" i="9"/>
  <c r="AN100" i="9"/>
  <c r="AM100" i="9"/>
  <c r="AL100" i="9"/>
  <c r="AJ100" i="9"/>
  <c r="AI100" i="9"/>
  <c r="AH100" i="9"/>
  <c r="AF100" i="9"/>
  <c r="AE100" i="9"/>
  <c r="AD100" i="9"/>
  <c r="AB100" i="9"/>
  <c r="AA100" i="9"/>
  <c r="Z100" i="9"/>
  <c r="X100" i="9"/>
  <c r="W100" i="9"/>
  <c r="V100" i="9"/>
  <c r="T100" i="9"/>
  <c r="S100" i="9"/>
  <c r="R100" i="9"/>
  <c r="P100" i="9"/>
  <c r="O100" i="9"/>
  <c r="N100" i="9"/>
  <c r="L100" i="9"/>
  <c r="K100" i="9"/>
  <c r="J100" i="9"/>
  <c r="H100" i="9"/>
  <c r="G100" i="9"/>
  <c r="F100" i="9"/>
  <c r="E100" i="9"/>
  <c r="D100" i="9"/>
  <c r="AU99" i="9"/>
  <c r="AT99" i="9"/>
  <c r="AR99" i="9"/>
  <c r="AQ99" i="9"/>
  <c r="AP99" i="9"/>
  <c r="AN99" i="9"/>
  <c r="AM99" i="9"/>
  <c r="AL99" i="9"/>
  <c r="AJ99" i="9"/>
  <c r="AI99" i="9"/>
  <c r="AH99" i="9"/>
  <c r="AF99" i="9"/>
  <c r="AE99" i="9"/>
  <c r="AD99" i="9"/>
  <c r="AB99" i="9"/>
  <c r="AA99" i="9"/>
  <c r="Z99" i="9"/>
  <c r="X99" i="9"/>
  <c r="W99" i="9"/>
  <c r="V99" i="9"/>
  <c r="T99" i="9"/>
  <c r="S99" i="9"/>
  <c r="R99" i="9"/>
  <c r="P99" i="9"/>
  <c r="O99" i="9"/>
  <c r="N99" i="9"/>
  <c r="L99" i="9"/>
  <c r="K99" i="9"/>
  <c r="J99" i="9"/>
  <c r="H99" i="9"/>
  <c r="G99" i="9"/>
  <c r="F99" i="9"/>
  <c r="E99" i="9"/>
  <c r="D99" i="9"/>
  <c r="AV98" i="9"/>
  <c r="AU98" i="9"/>
  <c r="AT98" i="9"/>
  <c r="AR98" i="9"/>
  <c r="AQ98" i="9"/>
  <c r="AP98" i="9"/>
  <c r="AN98" i="9"/>
  <c r="AM98" i="9"/>
  <c r="AV97" i="9"/>
  <c r="AU97" i="9"/>
  <c r="AT97" i="9"/>
  <c r="AR97" i="9"/>
  <c r="AQ97" i="9"/>
  <c r="AP97" i="9"/>
  <c r="AN97" i="9"/>
  <c r="AM97" i="9"/>
  <c r="AL97" i="9"/>
  <c r="AJ97" i="9"/>
  <c r="AI97" i="9"/>
  <c r="AH97" i="9"/>
  <c r="AF97" i="9"/>
  <c r="AE97" i="9"/>
  <c r="AD97" i="9"/>
  <c r="AB97" i="9"/>
  <c r="AA97" i="9"/>
  <c r="Z97" i="9"/>
  <c r="X97" i="9"/>
  <c r="W97" i="9"/>
  <c r="V97" i="9"/>
  <c r="T97" i="9"/>
  <c r="S97" i="9"/>
  <c r="R97" i="9"/>
  <c r="P97" i="9"/>
  <c r="O97" i="9"/>
  <c r="N97" i="9"/>
  <c r="L97" i="9"/>
  <c r="K97" i="9"/>
  <c r="J97" i="9"/>
  <c r="H97" i="9"/>
  <c r="G97" i="9"/>
  <c r="F97" i="9"/>
  <c r="E97" i="9"/>
  <c r="D97" i="9"/>
  <c r="AV96" i="9"/>
  <c r="AU96" i="9"/>
  <c r="AT96" i="9"/>
  <c r="AR96" i="9"/>
  <c r="AQ96" i="9"/>
  <c r="AP96" i="9"/>
  <c r="AN96" i="9"/>
  <c r="AM96" i="9"/>
  <c r="AL96" i="9"/>
  <c r="AJ96" i="9"/>
  <c r="AI96" i="9"/>
  <c r="AH96" i="9"/>
  <c r="AF96" i="9"/>
  <c r="AE96" i="9"/>
  <c r="AD96" i="9"/>
  <c r="AB96" i="9"/>
  <c r="AA96" i="9"/>
  <c r="Z96" i="9"/>
  <c r="X96" i="9"/>
  <c r="W96" i="9"/>
  <c r="V96" i="9"/>
  <c r="T96" i="9"/>
  <c r="S96" i="9"/>
  <c r="R96" i="9"/>
  <c r="P96" i="9"/>
  <c r="O96" i="9"/>
  <c r="N96" i="9"/>
  <c r="L96" i="9"/>
  <c r="K96" i="9"/>
  <c r="J96" i="9"/>
  <c r="H96" i="9"/>
  <c r="G96" i="9"/>
  <c r="F96" i="9"/>
  <c r="E96" i="9"/>
  <c r="D96" i="9"/>
  <c r="AV95" i="9"/>
  <c r="AU95" i="9"/>
  <c r="AT95" i="9"/>
  <c r="AR95" i="9"/>
  <c r="AQ95" i="9"/>
  <c r="AP95" i="9"/>
  <c r="AN95" i="9"/>
  <c r="AM95" i="9"/>
  <c r="AL95" i="9"/>
  <c r="AJ95" i="9"/>
  <c r="AI95" i="9"/>
  <c r="AH95" i="9"/>
  <c r="AF95" i="9"/>
  <c r="AE95" i="9"/>
  <c r="AD95" i="9"/>
  <c r="AB95" i="9"/>
  <c r="AA95" i="9"/>
  <c r="Z95" i="9"/>
  <c r="X95" i="9"/>
  <c r="W95" i="9"/>
  <c r="V95" i="9"/>
  <c r="T95" i="9"/>
  <c r="S95" i="9"/>
  <c r="R95" i="9"/>
  <c r="P95" i="9"/>
  <c r="O95" i="9"/>
  <c r="N95" i="9"/>
  <c r="L95" i="9"/>
  <c r="K95" i="9"/>
  <c r="J95" i="9"/>
  <c r="H95" i="9"/>
  <c r="G95" i="9"/>
  <c r="F95" i="9"/>
  <c r="E95" i="9"/>
  <c r="D95" i="9"/>
  <c r="AV94" i="9"/>
  <c r="AU94" i="9"/>
  <c r="AT94" i="9"/>
  <c r="AR94" i="9"/>
  <c r="AQ94" i="9"/>
  <c r="AP94" i="9"/>
  <c r="AN94" i="9"/>
  <c r="AM94" i="9"/>
  <c r="AL94" i="9"/>
  <c r="AJ94" i="9"/>
  <c r="AI94" i="9"/>
  <c r="AH94" i="9"/>
  <c r="AF94" i="9"/>
  <c r="AE94" i="9"/>
  <c r="AD94" i="9"/>
  <c r="AB94" i="9"/>
  <c r="AA94" i="9"/>
  <c r="Z94" i="9"/>
  <c r="X94" i="9"/>
  <c r="W94" i="9"/>
  <c r="V94" i="9"/>
  <c r="T94" i="9"/>
  <c r="S94" i="9"/>
  <c r="R94" i="9"/>
  <c r="P94" i="9"/>
  <c r="O94" i="9"/>
  <c r="N94" i="9"/>
  <c r="L94" i="9"/>
  <c r="K94" i="9"/>
  <c r="J94" i="9"/>
  <c r="H94" i="9"/>
  <c r="G94" i="9"/>
  <c r="F94" i="9"/>
  <c r="E94" i="9"/>
  <c r="D94" i="9"/>
  <c r="AV93" i="9"/>
  <c r="AU93" i="9"/>
  <c r="AT93" i="9"/>
  <c r="AR93" i="9"/>
  <c r="AQ93" i="9"/>
  <c r="AP93" i="9"/>
  <c r="AN93" i="9"/>
  <c r="AM93" i="9"/>
  <c r="AL93" i="9"/>
  <c r="AJ93" i="9"/>
  <c r="AI93" i="9"/>
  <c r="AH93" i="9"/>
  <c r="AF93" i="9"/>
  <c r="AE93" i="9"/>
  <c r="AD93" i="9"/>
  <c r="AB93" i="9"/>
  <c r="AA93" i="9"/>
  <c r="Z93" i="9"/>
  <c r="X93" i="9"/>
  <c r="W93" i="9"/>
  <c r="V93" i="9"/>
  <c r="T93" i="9"/>
  <c r="S93" i="9"/>
  <c r="R93" i="9"/>
  <c r="P93" i="9"/>
  <c r="O93" i="9"/>
  <c r="N93" i="9"/>
  <c r="L93" i="9"/>
  <c r="K93" i="9"/>
  <c r="J93" i="9"/>
  <c r="H93" i="9"/>
  <c r="G93" i="9"/>
  <c r="F93" i="9"/>
  <c r="E93" i="9"/>
  <c r="D93" i="9"/>
  <c r="AV92" i="9"/>
  <c r="AU92" i="9"/>
  <c r="AT92" i="9"/>
  <c r="AR92" i="9"/>
  <c r="AQ92" i="9"/>
  <c r="AP92" i="9"/>
  <c r="AN92" i="9"/>
  <c r="AM92" i="9"/>
  <c r="AL92" i="9"/>
  <c r="AJ92" i="9"/>
  <c r="AI92" i="9"/>
  <c r="AH92" i="9"/>
  <c r="AF92" i="9"/>
  <c r="AE92" i="9"/>
  <c r="AD92" i="9"/>
  <c r="AB92" i="9"/>
  <c r="AA92" i="9"/>
  <c r="Z92" i="9"/>
  <c r="X92" i="9"/>
  <c r="W92" i="9"/>
  <c r="V92" i="9"/>
  <c r="T92" i="9"/>
  <c r="S92" i="9"/>
  <c r="R92" i="9"/>
  <c r="P92" i="9"/>
  <c r="L92" i="9"/>
  <c r="K92" i="9"/>
  <c r="J92" i="9"/>
  <c r="H92" i="9"/>
  <c r="G92" i="9"/>
  <c r="F92" i="9"/>
  <c r="E92" i="9"/>
  <c r="D92" i="9"/>
  <c r="AU91" i="9"/>
  <c r="AT91" i="9"/>
  <c r="AR91" i="9"/>
  <c r="AQ91" i="9"/>
  <c r="AP91" i="9"/>
  <c r="AN91" i="9"/>
  <c r="AM91" i="9"/>
  <c r="AL91" i="9"/>
  <c r="AJ91" i="9"/>
  <c r="AI91" i="9"/>
  <c r="AH91" i="9"/>
  <c r="AF91" i="9"/>
  <c r="AE91" i="9"/>
  <c r="AD91" i="9"/>
  <c r="AB91" i="9"/>
  <c r="AA91" i="9"/>
  <c r="Z91" i="9"/>
  <c r="X91" i="9"/>
  <c r="W91" i="9"/>
  <c r="V91" i="9"/>
  <c r="T91" i="9"/>
  <c r="S91" i="9"/>
  <c r="R91" i="9"/>
  <c r="P91" i="9"/>
  <c r="O91" i="9"/>
  <c r="N91" i="9"/>
  <c r="L91" i="9"/>
  <c r="K91" i="9"/>
  <c r="J91" i="9"/>
  <c r="H91" i="9"/>
  <c r="G91" i="9"/>
  <c r="F91" i="9"/>
  <c r="E91" i="9"/>
  <c r="D91" i="9"/>
  <c r="AV90" i="9"/>
  <c r="AU90" i="9"/>
  <c r="AT90" i="9"/>
  <c r="AR90" i="9"/>
  <c r="AQ90" i="9"/>
  <c r="AP90" i="9"/>
  <c r="AN90" i="9"/>
  <c r="AM90" i="9"/>
  <c r="AV89" i="9"/>
  <c r="AU89" i="9"/>
  <c r="AT89" i="9"/>
  <c r="AR89" i="9"/>
  <c r="AQ89" i="9"/>
  <c r="AP89" i="9"/>
  <c r="AN89" i="9"/>
  <c r="AM89" i="9"/>
  <c r="AL89" i="9"/>
  <c r="AJ89" i="9"/>
  <c r="AI89" i="9"/>
  <c r="AH89" i="9"/>
  <c r="AF89" i="9"/>
  <c r="AE89" i="9"/>
  <c r="AD89" i="9"/>
  <c r="AB89" i="9"/>
  <c r="AA89" i="9"/>
  <c r="Z89" i="9"/>
  <c r="X89" i="9"/>
  <c r="W89" i="9"/>
  <c r="V89" i="9"/>
  <c r="T89" i="9"/>
  <c r="S89" i="9"/>
  <c r="R89" i="9"/>
  <c r="P89" i="9"/>
  <c r="O89" i="9"/>
  <c r="N89" i="9"/>
  <c r="L89" i="9"/>
  <c r="K89" i="9"/>
  <c r="J89" i="9"/>
  <c r="H89" i="9"/>
  <c r="G89" i="9"/>
  <c r="F89" i="9"/>
  <c r="E89" i="9"/>
  <c r="D89" i="9"/>
  <c r="AV88" i="9"/>
  <c r="AU88" i="9"/>
  <c r="AT88" i="9"/>
  <c r="AR88" i="9"/>
  <c r="AQ88" i="9"/>
  <c r="AP88" i="9"/>
  <c r="AN88" i="9"/>
  <c r="AM88" i="9"/>
  <c r="AL88" i="9"/>
  <c r="AJ88" i="9"/>
  <c r="AI88" i="9"/>
  <c r="AH88" i="9"/>
  <c r="AF88" i="9"/>
  <c r="AE88" i="9"/>
  <c r="AD88" i="9"/>
  <c r="AB88" i="9"/>
  <c r="AA88" i="9"/>
  <c r="Z88" i="9"/>
  <c r="X88" i="9"/>
  <c r="W88" i="9"/>
  <c r="V88" i="9"/>
  <c r="T88" i="9"/>
  <c r="S88" i="9"/>
  <c r="R88" i="9"/>
  <c r="P88" i="9"/>
  <c r="O88" i="9"/>
  <c r="N88" i="9"/>
  <c r="L88" i="9"/>
  <c r="K88" i="9"/>
  <c r="J88" i="9"/>
  <c r="H88" i="9"/>
  <c r="G88" i="9"/>
  <c r="F88" i="9"/>
  <c r="E88" i="9"/>
  <c r="D88" i="9"/>
  <c r="AV87" i="9"/>
  <c r="AU87" i="9"/>
  <c r="AT87" i="9"/>
  <c r="AR87" i="9"/>
  <c r="AQ87" i="9"/>
  <c r="AP87" i="9"/>
  <c r="AN87" i="9"/>
  <c r="AM87" i="9"/>
  <c r="AL87" i="9"/>
  <c r="AJ87" i="9"/>
  <c r="AI87" i="9"/>
  <c r="AH87" i="9"/>
  <c r="AF87" i="9"/>
  <c r="AE87" i="9"/>
  <c r="AD87" i="9"/>
  <c r="AB87" i="9"/>
  <c r="AA87" i="9"/>
  <c r="Z87" i="9"/>
  <c r="X87" i="9"/>
  <c r="W87" i="9"/>
  <c r="V87" i="9"/>
  <c r="T87" i="9"/>
  <c r="S87" i="9"/>
  <c r="R87" i="9"/>
  <c r="P87" i="9"/>
  <c r="O87" i="9"/>
  <c r="N87" i="9"/>
  <c r="L87" i="9"/>
  <c r="K87" i="9"/>
  <c r="J87" i="9"/>
  <c r="H87" i="9"/>
  <c r="G87" i="9"/>
  <c r="F87" i="9"/>
  <c r="E87" i="9"/>
  <c r="D87" i="9"/>
  <c r="AV86" i="9"/>
  <c r="AU86" i="9"/>
  <c r="AT86" i="9"/>
  <c r="AR86" i="9"/>
  <c r="AQ86" i="9"/>
  <c r="AP86" i="9"/>
  <c r="AN86" i="9"/>
  <c r="AM86" i="9"/>
  <c r="AL86" i="9"/>
  <c r="AJ86" i="9"/>
  <c r="AI86" i="9"/>
  <c r="AH86" i="9"/>
  <c r="AF86" i="9"/>
  <c r="AE86" i="9"/>
  <c r="AD86" i="9"/>
  <c r="AB86" i="9"/>
  <c r="AA86" i="9"/>
  <c r="Z86" i="9"/>
  <c r="X86" i="9"/>
  <c r="W86" i="9"/>
  <c r="V86" i="9"/>
  <c r="T86" i="9"/>
  <c r="S86" i="9"/>
  <c r="R86" i="9"/>
  <c r="P86" i="9"/>
  <c r="O86" i="9"/>
  <c r="N86" i="9"/>
  <c r="L86" i="9"/>
  <c r="K86" i="9"/>
  <c r="J86" i="9"/>
  <c r="H86" i="9"/>
  <c r="G86" i="9"/>
  <c r="F86" i="9"/>
  <c r="E86" i="9"/>
  <c r="D86" i="9"/>
  <c r="AV85" i="9"/>
  <c r="AU85" i="9"/>
  <c r="AT85" i="9"/>
  <c r="AR85" i="9"/>
  <c r="AQ85" i="9"/>
  <c r="AP85" i="9"/>
  <c r="AN85" i="9"/>
  <c r="AM85" i="9"/>
  <c r="AL85" i="9"/>
  <c r="AJ85" i="9"/>
  <c r="AI85" i="9"/>
  <c r="AH85" i="9"/>
  <c r="AF85" i="9"/>
  <c r="AE85" i="9"/>
  <c r="AD85" i="9"/>
  <c r="AB85" i="9"/>
  <c r="AA85" i="9"/>
  <c r="Z85" i="9"/>
  <c r="X85" i="9"/>
  <c r="W85" i="9"/>
  <c r="V85" i="9"/>
  <c r="T85" i="9"/>
  <c r="S85" i="9"/>
  <c r="R85" i="9"/>
  <c r="P85" i="9"/>
  <c r="O85" i="9"/>
  <c r="N85" i="9"/>
  <c r="L85" i="9"/>
  <c r="K85" i="9"/>
  <c r="J85" i="9"/>
  <c r="H85" i="9"/>
  <c r="G85" i="9"/>
  <c r="F85" i="9"/>
  <c r="E85" i="9"/>
  <c r="D85" i="9"/>
  <c r="AV84" i="9"/>
  <c r="AU84" i="9"/>
  <c r="AT84" i="9"/>
  <c r="AR84" i="9"/>
  <c r="AQ84" i="9"/>
  <c r="AP84" i="9"/>
  <c r="AN84" i="9"/>
  <c r="AM84" i="9"/>
  <c r="AL84" i="9"/>
  <c r="AJ84" i="9"/>
  <c r="AI84" i="9"/>
  <c r="AH84" i="9"/>
  <c r="AF84" i="9"/>
  <c r="AE84" i="9"/>
  <c r="AD84" i="9"/>
  <c r="AB84" i="9"/>
  <c r="AA84" i="9"/>
  <c r="Z84" i="9"/>
  <c r="X84" i="9"/>
  <c r="W84" i="9"/>
  <c r="V84" i="9"/>
  <c r="T84" i="9"/>
  <c r="S84" i="9"/>
  <c r="R84" i="9"/>
  <c r="P84" i="9"/>
  <c r="O84" i="9"/>
  <c r="N84" i="9"/>
  <c r="L84" i="9"/>
  <c r="K84" i="9"/>
  <c r="J84" i="9"/>
  <c r="H84" i="9"/>
  <c r="G84" i="9"/>
  <c r="F84" i="9"/>
  <c r="E84" i="9"/>
  <c r="D84" i="9"/>
  <c r="AU83" i="9"/>
  <c r="AT83" i="9"/>
  <c r="AR83" i="9"/>
  <c r="AQ83" i="9"/>
  <c r="AP83" i="9"/>
  <c r="AN83" i="9"/>
  <c r="AM83" i="9"/>
  <c r="AL83" i="9"/>
  <c r="AJ83" i="9"/>
  <c r="AI83" i="9"/>
  <c r="AH83" i="9"/>
  <c r="AF83" i="9"/>
  <c r="AE83" i="9"/>
  <c r="AD83" i="9"/>
  <c r="AB83" i="9"/>
  <c r="AA83" i="9"/>
  <c r="Z83" i="9"/>
  <c r="X83" i="9"/>
  <c r="W83" i="9"/>
  <c r="V83" i="9"/>
  <c r="T83" i="9"/>
  <c r="S83" i="9"/>
  <c r="R83" i="9"/>
  <c r="P83" i="9"/>
  <c r="O83" i="9"/>
  <c r="N83" i="9"/>
  <c r="L83" i="9"/>
  <c r="K83" i="9"/>
  <c r="J83" i="9"/>
  <c r="H83" i="9"/>
  <c r="G83" i="9"/>
  <c r="F83" i="9"/>
  <c r="E83" i="9"/>
  <c r="D83" i="9"/>
  <c r="AV82" i="9"/>
  <c r="AU82" i="9"/>
  <c r="AT82" i="9"/>
  <c r="AR82" i="9"/>
  <c r="AQ82" i="9"/>
  <c r="AP82" i="9"/>
  <c r="AN82" i="9"/>
  <c r="AM82" i="9"/>
  <c r="AV81" i="9"/>
  <c r="AU81" i="9"/>
  <c r="AT81" i="9"/>
  <c r="AR81" i="9"/>
  <c r="AQ81" i="9"/>
  <c r="AP81" i="9"/>
  <c r="AN81" i="9"/>
  <c r="AM81" i="9"/>
  <c r="AL81" i="9"/>
  <c r="AJ81" i="9"/>
  <c r="AI81" i="9"/>
  <c r="AH81" i="9"/>
  <c r="AF81" i="9"/>
  <c r="AE81" i="9"/>
  <c r="AD81" i="9"/>
  <c r="AB81" i="9"/>
  <c r="AA81" i="9"/>
  <c r="Z81" i="9"/>
  <c r="X81" i="9"/>
  <c r="W81" i="9"/>
  <c r="V81" i="9"/>
  <c r="T81" i="9"/>
  <c r="S81" i="9"/>
  <c r="R81" i="9"/>
  <c r="P81" i="9"/>
  <c r="O81" i="9"/>
  <c r="N81" i="9"/>
  <c r="L81" i="9"/>
  <c r="K81" i="9"/>
  <c r="J81" i="9"/>
  <c r="H81" i="9"/>
  <c r="G81" i="9"/>
  <c r="F81" i="9"/>
  <c r="E81" i="9"/>
  <c r="D81" i="9"/>
  <c r="AV80" i="9"/>
  <c r="AU80" i="9"/>
  <c r="AT80" i="9"/>
  <c r="AR80" i="9"/>
  <c r="AQ80" i="9"/>
  <c r="AP80" i="9"/>
  <c r="AN80" i="9"/>
  <c r="AM80" i="9"/>
  <c r="AL80" i="9"/>
  <c r="AJ80" i="9"/>
  <c r="AI80" i="9"/>
  <c r="AH80" i="9"/>
  <c r="AF80" i="9"/>
  <c r="AE80" i="9"/>
  <c r="AD80" i="9"/>
  <c r="AB80" i="9"/>
  <c r="AA80" i="9"/>
  <c r="Z80" i="9"/>
  <c r="X80" i="9"/>
  <c r="W80" i="9"/>
  <c r="V80" i="9"/>
  <c r="T80" i="9"/>
  <c r="S80" i="9"/>
  <c r="R80" i="9"/>
  <c r="P80" i="9"/>
  <c r="O80" i="9"/>
  <c r="N80" i="9"/>
  <c r="L80" i="9"/>
  <c r="K80" i="9"/>
  <c r="J80" i="9"/>
  <c r="H80" i="9"/>
  <c r="G80" i="9"/>
  <c r="F80" i="9"/>
  <c r="E80" i="9"/>
  <c r="D80" i="9"/>
  <c r="AV79" i="9"/>
  <c r="AU79" i="9"/>
  <c r="AT79" i="9"/>
  <c r="AR79" i="9"/>
  <c r="AQ79" i="9"/>
  <c r="AP79" i="9"/>
  <c r="AN79" i="9"/>
  <c r="AM79" i="9"/>
  <c r="AL79" i="9"/>
  <c r="AJ79" i="9"/>
  <c r="AI79" i="9"/>
  <c r="AH79" i="9"/>
  <c r="AF79" i="9"/>
  <c r="AE79" i="9"/>
  <c r="AD79" i="9"/>
  <c r="AB79" i="9"/>
  <c r="AA79" i="9"/>
  <c r="Z79" i="9"/>
  <c r="X79" i="9"/>
  <c r="W79" i="9"/>
  <c r="V79" i="9"/>
  <c r="T79" i="9"/>
  <c r="S79" i="9"/>
  <c r="R79" i="9"/>
  <c r="P79" i="9"/>
  <c r="O79" i="9"/>
  <c r="N79" i="9"/>
  <c r="L79" i="9"/>
  <c r="K79" i="9"/>
  <c r="J79" i="9"/>
  <c r="H79" i="9"/>
  <c r="G79" i="9"/>
  <c r="F79" i="9"/>
  <c r="E79" i="9"/>
  <c r="D79" i="9"/>
  <c r="AV78" i="9"/>
  <c r="AU78" i="9"/>
  <c r="AT78" i="9"/>
  <c r="AR78" i="9"/>
  <c r="AQ78" i="9"/>
  <c r="AP78" i="9"/>
  <c r="AN78" i="9"/>
  <c r="AM78" i="9"/>
  <c r="AL78" i="9"/>
  <c r="AJ78" i="9"/>
  <c r="AI78" i="9"/>
  <c r="AH78" i="9"/>
  <c r="AF78" i="9"/>
  <c r="AE78" i="9"/>
  <c r="AD78" i="9"/>
  <c r="AB78" i="9"/>
  <c r="AA78" i="9"/>
  <c r="Z78" i="9"/>
  <c r="X78" i="9"/>
  <c r="W78" i="9"/>
  <c r="V78" i="9"/>
  <c r="T78" i="9"/>
  <c r="S78" i="9"/>
  <c r="R78" i="9"/>
  <c r="P78" i="9"/>
  <c r="O78" i="9"/>
  <c r="N78" i="9"/>
  <c r="L78" i="9"/>
  <c r="K78" i="9"/>
  <c r="J78" i="9"/>
  <c r="H78" i="9"/>
  <c r="G78" i="9"/>
  <c r="F78" i="9"/>
  <c r="E78" i="9"/>
  <c r="D78" i="9"/>
  <c r="C45" i="9"/>
  <c r="AV44" i="9"/>
  <c r="AU44" i="9"/>
  <c r="AT44" i="9"/>
  <c r="AR44" i="9"/>
  <c r="AP44" i="9"/>
  <c r="AN44" i="9"/>
  <c r="AM44" i="9"/>
  <c r="AL44" i="9"/>
  <c r="AJ44" i="9"/>
  <c r="AI44" i="9"/>
  <c r="AH44" i="9"/>
  <c r="AF44" i="9"/>
  <c r="AE44" i="9"/>
  <c r="AD44" i="9"/>
  <c r="AB44" i="9"/>
  <c r="AA44" i="9"/>
  <c r="Z44" i="9"/>
  <c r="X44" i="9"/>
  <c r="W44" i="9"/>
  <c r="V44" i="9"/>
  <c r="T44" i="9"/>
  <c r="S44" i="9"/>
  <c r="R44" i="9"/>
  <c r="P44" i="9"/>
  <c r="O44" i="9"/>
  <c r="N44" i="9"/>
  <c r="L44" i="9"/>
  <c r="K44" i="9"/>
  <c r="J44" i="9"/>
  <c r="H44" i="9"/>
  <c r="G44" i="9"/>
  <c r="F44" i="9"/>
  <c r="E44" i="9"/>
  <c r="D44" i="9"/>
  <c r="AV43" i="9"/>
  <c r="AU43" i="9"/>
  <c r="AT43" i="9"/>
  <c r="AR43" i="9"/>
  <c r="AQ43" i="9"/>
  <c r="AN43" i="9"/>
  <c r="AM43" i="9"/>
  <c r="AL43" i="9"/>
  <c r="AJ43" i="9"/>
  <c r="AI43" i="9"/>
  <c r="AH43" i="9"/>
  <c r="AF43" i="9"/>
  <c r="AE43" i="9"/>
  <c r="AD43" i="9"/>
  <c r="AB43" i="9"/>
  <c r="AA43" i="9"/>
  <c r="Z43" i="9"/>
  <c r="X43" i="9"/>
  <c r="W43" i="9"/>
  <c r="V43" i="9"/>
  <c r="T43" i="9"/>
  <c r="S43" i="9"/>
  <c r="R43" i="9"/>
  <c r="P43" i="9"/>
  <c r="O43" i="9"/>
  <c r="N43" i="9"/>
  <c r="L43" i="9"/>
  <c r="K43" i="9"/>
  <c r="J43" i="9"/>
  <c r="H43" i="9"/>
  <c r="G43" i="9"/>
  <c r="F43" i="9"/>
  <c r="E43" i="9"/>
  <c r="D43" i="9"/>
  <c r="AV42" i="9"/>
  <c r="AU42" i="9"/>
  <c r="AT42" i="9"/>
  <c r="AR42" i="9"/>
  <c r="AQ42" i="9"/>
  <c r="AP42" i="9"/>
  <c r="AN42" i="9"/>
  <c r="AM42" i="9"/>
  <c r="AL42" i="9"/>
  <c r="AJ42" i="9"/>
  <c r="AI42" i="9"/>
  <c r="AH42" i="9"/>
  <c r="AF42" i="9"/>
  <c r="AE42" i="9"/>
  <c r="AD42" i="9"/>
  <c r="AB42" i="9"/>
  <c r="AA42" i="9"/>
  <c r="Z42" i="9"/>
  <c r="X42" i="9"/>
  <c r="W42" i="9"/>
  <c r="V42" i="9"/>
  <c r="T42" i="9"/>
  <c r="S42" i="9"/>
  <c r="R42" i="9"/>
  <c r="P42" i="9"/>
  <c r="O42" i="9"/>
  <c r="N42" i="9"/>
  <c r="L42" i="9"/>
  <c r="K42" i="9"/>
  <c r="J42" i="9"/>
  <c r="H42" i="9"/>
  <c r="G42" i="9"/>
  <c r="F42" i="9"/>
  <c r="E42" i="9"/>
  <c r="D42" i="9"/>
  <c r="AV41" i="9"/>
  <c r="AU41" i="9"/>
  <c r="AT41" i="9"/>
  <c r="AR41" i="9"/>
  <c r="AQ41" i="9"/>
  <c r="AP41" i="9"/>
  <c r="AN41" i="9"/>
  <c r="AM41" i="9"/>
  <c r="AL41" i="9"/>
  <c r="AJ41" i="9"/>
  <c r="AI41" i="9"/>
  <c r="AH41" i="9"/>
  <c r="AF41" i="9"/>
  <c r="AE41" i="9"/>
  <c r="AD41" i="9"/>
  <c r="AB41" i="9"/>
  <c r="AA41" i="9"/>
  <c r="Z41" i="9"/>
  <c r="X41" i="9"/>
  <c r="W41" i="9"/>
  <c r="V41" i="9"/>
  <c r="T41" i="9"/>
  <c r="S41" i="9"/>
  <c r="R41" i="9"/>
  <c r="P41" i="9"/>
  <c r="O41" i="9"/>
  <c r="N41" i="9"/>
  <c r="L41" i="9"/>
  <c r="K41" i="9"/>
  <c r="J41" i="9"/>
  <c r="H41" i="9"/>
  <c r="G41" i="9"/>
  <c r="F41" i="9"/>
  <c r="E41" i="9"/>
  <c r="D41" i="9"/>
  <c r="AV39" i="9"/>
  <c r="AU39" i="9"/>
  <c r="AT39" i="9"/>
  <c r="AR39" i="9"/>
  <c r="AQ39" i="9"/>
  <c r="AP39" i="9"/>
  <c r="AN39" i="9"/>
  <c r="AM39" i="9"/>
  <c r="AL39" i="9"/>
  <c r="AJ39" i="9"/>
  <c r="AI39" i="9"/>
  <c r="AH39" i="9"/>
  <c r="AF39" i="9"/>
  <c r="AE39" i="9"/>
  <c r="AD39" i="9"/>
  <c r="AB39" i="9"/>
  <c r="AA39" i="9"/>
  <c r="Z39" i="9"/>
  <c r="X39" i="9"/>
  <c r="W39" i="9"/>
  <c r="V39" i="9"/>
  <c r="T39" i="9"/>
  <c r="S39" i="9"/>
  <c r="R39" i="9"/>
  <c r="P39" i="9"/>
  <c r="O39" i="9"/>
  <c r="N39" i="9"/>
  <c r="L39" i="9"/>
  <c r="K39" i="9"/>
  <c r="J39" i="9"/>
  <c r="H39" i="9"/>
  <c r="G39" i="9"/>
  <c r="F39" i="9"/>
  <c r="E39" i="9"/>
  <c r="D39" i="9"/>
  <c r="C39" i="9"/>
  <c r="C40" i="9" s="1"/>
  <c r="C38" i="9"/>
  <c r="AV37" i="9"/>
  <c r="AU37" i="9"/>
  <c r="AT37" i="9"/>
  <c r="AR37" i="9"/>
  <c r="AQ37" i="9"/>
  <c r="AP37" i="9"/>
  <c r="AN37" i="9"/>
  <c r="AM37" i="9"/>
  <c r="AL37" i="9"/>
  <c r="AJ37" i="9"/>
  <c r="AI37" i="9"/>
  <c r="AH37" i="9"/>
  <c r="AF37" i="9"/>
  <c r="AE37" i="9"/>
  <c r="AD37" i="9"/>
  <c r="AB37" i="9"/>
  <c r="AA37" i="9"/>
  <c r="Z37" i="9"/>
  <c r="X37" i="9"/>
  <c r="W37" i="9"/>
  <c r="V37" i="9"/>
  <c r="T37" i="9"/>
  <c r="S37" i="9"/>
  <c r="R37" i="9"/>
  <c r="P37" i="9"/>
  <c r="O37" i="9"/>
  <c r="N37" i="9"/>
  <c r="L37" i="9"/>
  <c r="K37" i="9"/>
  <c r="J37" i="9"/>
  <c r="H37" i="9"/>
  <c r="G37" i="9"/>
  <c r="F37" i="9"/>
  <c r="E37" i="9"/>
  <c r="D37" i="9"/>
  <c r="C36" i="9"/>
  <c r="AV35" i="9"/>
  <c r="AU35" i="9"/>
  <c r="AT35" i="9"/>
  <c r="AR35" i="9"/>
  <c r="AQ35" i="9"/>
  <c r="AP35" i="9"/>
  <c r="AN35" i="9"/>
  <c r="AM35" i="9"/>
  <c r="AL35" i="9"/>
  <c r="AJ35" i="9"/>
  <c r="AI35" i="9"/>
  <c r="AH35" i="9"/>
  <c r="AF35" i="9"/>
  <c r="AE35" i="9"/>
  <c r="AD35" i="9"/>
  <c r="AB35" i="9"/>
  <c r="AA35" i="9"/>
  <c r="Z35" i="9"/>
  <c r="X35" i="9"/>
  <c r="W35" i="9"/>
  <c r="V35" i="9"/>
  <c r="T35" i="9"/>
  <c r="S35" i="9"/>
  <c r="R35" i="9"/>
  <c r="P35" i="9"/>
  <c r="O35" i="9"/>
  <c r="N35" i="9"/>
  <c r="L35" i="9"/>
  <c r="K35" i="9"/>
  <c r="J35" i="9"/>
  <c r="H35" i="9"/>
  <c r="G35" i="9"/>
  <c r="F35" i="9"/>
  <c r="E35" i="9"/>
  <c r="D35" i="9"/>
  <c r="AV34" i="9"/>
  <c r="AU34" i="9"/>
  <c r="AT34" i="9"/>
  <c r="AR34" i="9"/>
  <c r="AQ34" i="9"/>
  <c r="AQ45" i="9" s="1"/>
  <c r="AP34" i="9"/>
  <c r="AN34" i="9"/>
  <c r="AM34" i="9"/>
  <c r="AL34" i="9"/>
  <c r="AJ34" i="9"/>
  <c r="AI34" i="9"/>
  <c r="AH34" i="9"/>
  <c r="AF34" i="9"/>
  <c r="AE34" i="9"/>
  <c r="AD34" i="9"/>
  <c r="AB34" i="9"/>
  <c r="AA34" i="9"/>
  <c r="Z34" i="9"/>
  <c r="X34" i="9"/>
  <c r="W34" i="9"/>
  <c r="V34" i="9"/>
  <c r="T34" i="9"/>
  <c r="S34" i="9"/>
  <c r="R34" i="9"/>
  <c r="P34" i="9"/>
  <c r="O34" i="9"/>
  <c r="N34" i="9"/>
  <c r="L34" i="9"/>
  <c r="K34" i="9"/>
  <c r="J34" i="9"/>
  <c r="H34" i="9"/>
  <c r="G34" i="9"/>
  <c r="F34" i="9"/>
  <c r="E34" i="9"/>
  <c r="D34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C24" i="9"/>
  <c r="C22" i="9"/>
  <c r="C20" i="9"/>
  <c r="D36" i="9" l="1"/>
  <c r="H36" i="9"/>
  <c r="L36" i="9"/>
  <c r="P36" i="9"/>
  <c r="T36" i="9"/>
  <c r="X36" i="9"/>
  <c r="AB36" i="9"/>
  <c r="AF36" i="9"/>
  <c r="AJ36" i="9"/>
  <c r="AN36" i="9"/>
  <c r="AR36" i="9"/>
  <c r="AV36" i="9"/>
  <c r="G40" i="9"/>
  <c r="K40" i="9"/>
  <c r="O40" i="9"/>
  <c r="S40" i="9"/>
  <c r="W40" i="9"/>
  <c r="AA40" i="9"/>
  <c r="AE40" i="9"/>
  <c r="AI40" i="9"/>
  <c r="AM40" i="9"/>
  <c r="AQ40" i="9"/>
  <c r="AU40" i="9"/>
  <c r="AT45" i="9"/>
  <c r="AH36" i="9"/>
  <c r="T40" i="9"/>
  <c r="G45" i="9"/>
  <c r="K45" i="9"/>
  <c r="O45" i="9"/>
  <c r="S45" i="9"/>
  <c r="W45" i="9"/>
  <c r="AA45" i="9"/>
  <c r="AE45" i="9"/>
  <c r="AI45" i="9"/>
  <c r="AM45" i="9"/>
  <c r="D40" i="9"/>
  <c r="H40" i="9"/>
  <c r="L40" i="9"/>
  <c r="P40" i="9"/>
  <c r="X40" i="9"/>
  <c r="AB40" i="9"/>
  <c r="AF40" i="9"/>
  <c r="AJ40" i="9"/>
  <c r="AN40" i="9"/>
  <c r="AR40" i="9"/>
  <c r="AV40" i="9"/>
  <c r="J36" i="9"/>
  <c r="R36" i="9"/>
  <c r="Z36" i="9"/>
  <c r="AP36" i="9"/>
  <c r="N45" i="9"/>
  <c r="AD45" i="9"/>
  <c r="AR45" i="9"/>
  <c r="AV45" i="9"/>
  <c r="N36" i="9"/>
  <c r="K38" i="9"/>
  <c r="S38" i="9"/>
  <c r="AE38" i="9"/>
  <c r="AM38" i="9"/>
  <c r="AU38" i="9"/>
  <c r="F36" i="9"/>
  <c r="V36" i="9"/>
  <c r="AD36" i="9"/>
  <c r="AL36" i="9"/>
  <c r="AT36" i="9"/>
  <c r="G38" i="9"/>
  <c r="O38" i="9"/>
  <c r="W38" i="9"/>
  <c r="AA38" i="9"/>
  <c r="AI38" i="9"/>
  <c r="AQ38" i="9"/>
  <c r="G36" i="9"/>
  <c r="K36" i="9"/>
  <c r="O36" i="9"/>
  <c r="S36" i="9"/>
  <c r="W36" i="9"/>
  <c r="AA36" i="9"/>
  <c r="AE36" i="9"/>
  <c r="AI36" i="9"/>
  <c r="AM36" i="9"/>
  <c r="AQ36" i="9"/>
  <c r="AU36" i="9"/>
  <c r="D38" i="9"/>
  <c r="H38" i="9"/>
  <c r="L38" i="9"/>
  <c r="P38" i="9"/>
  <c r="T38" i="9"/>
  <c r="X38" i="9"/>
  <c r="AB38" i="9"/>
  <c r="AF38" i="9"/>
  <c r="AJ38" i="9"/>
  <c r="AN38" i="9"/>
  <c r="AR38" i="9"/>
  <c r="AV38" i="9"/>
  <c r="F40" i="9"/>
  <c r="J40" i="9"/>
  <c r="N40" i="9"/>
  <c r="R40" i="9"/>
  <c r="V40" i="9"/>
  <c r="Z40" i="9"/>
  <c r="AD40" i="9"/>
  <c r="AH40" i="9"/>
  <c r="AL40" i="9"/>
  <c r="AP40" i="9"/>
  <c r="AT40" i="9"/>
  <c r="F45" i="9"/>
  <c r="J45" i="9"/>
  <c r="R45" i="9"/>
  <c r="V45" i="9"/>
  <c r="Z45" i="9"/>
  <c r="AH45" i="9"/>
  <c r="AL45" i="9"/>
  <c r="AP45" i="9"/>
  <c r="AU45" i="9"/>
  <c r="E36" i="9"/>
  <c r="E38" i="9"/>
  <c r="H45" i="9"/>
  <c r="P45" i="9"/>
  <c r="T45" i="9"/>
  <c r="AB45" i="9"/>
  <c r="AJ45" i="9"/>
  <c r="AN45" i="9"/>
  <c r="D45" i="9"/>
  <c r="L45" i="9"/>
  <c r="X45" i="9"/>
  <c r="AF45" i="9"/>
  <c r="F38" i="9"/>
  <c r="J38" i="9"/>
  <c r="N38" i="9"/>
  <c r="R38" i="9"/>
  <c r="V38" i="9"/>
  <c r="Z38" i="9"/>
  <c r="AD38" i="9"/>
  <c r="AH38" i="9"/>
  <c r="AL38" i="9"/>
  <c r="AP38" i="9"/>
  <c r="AT38" i="9"/>
  <c r="E45" i="9"/>
  <c r="E40" i="9"/>
  <c r="BB75" i="1" l="1"/>
  <c r="L104" i="6" l="1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7" i="8" l="1"/>
  <c r="L88" i="8"/>
  <c r="L89" i="8"/>
  <c r="L90" i="8"/>
  <c r="L91" i="8"/>
  <c r="L93" i="8"/>
  <c r="L96" i="8"/>
  <c r="L97" i="8"/>
  <c r="L99" i="8"/>
  <c r="L100" i="8"/>
  <c r="L101" i="8"/>
  <c r="L102" i="8"/>
  <c r="L103" i="8"/>
  <c r="K214" i="6"/>
  <c r="K213" i="6"/>
  <c r="K55" i="8" l="1"/>
  <c r="K67" i="8"/>
  <c r="K61" i="8"/>
  <c r="L95" i="8"/>
  <c r="K174" i="6"/>
  <c r="K171" i="6"/>
  <c r="L92" i="8" l="1"/>
  <c r="L98" i="8"/>
  <c r="L104" i="8"/>
  <c r="N215" i="6"/>
  <c r="K29" i="6"/>
  <c r="K25" i="6"/>
  <c r="L41" i="6" s="1"/>
  <c r="K24" i="6"/>
  <c r="K22" i="6"/>
  <c r="K20" i="6"/>
  <c r="N217" i="6" l="1"/>
  <c r="N216" i="6"/>
  <c r="BA75" i="1"/>
  <c r="L41" i="8" l="1"/>
  <c r="L34" i="8"/>
  <c r="L35" i="8"/>
  <c r="L44" i="8"/>
  <c r="L39" i="8"/>
  <c r="L43" i="8"/>
  <c r="L37" i="8"/>
  <c r="L42" i="8"/>
  <c r="K29" i="8"/>
  <c r="K22" i="8"/>
  <c r="K20" i="8"/>
  <c r="K24" i="8"/>
  <c r="L45" i="8" l="1"/>
  <c r="L36" i="8"/>
  <c r="L38" i="8"/>
  <c r="L40" i="8"/>
  <c r="AZ75" i="1" l="1"/>
  <c r="J174" i="6" l="1"/>
  <c r="J171" i="6"/>
  <c r="J214" i="6"/>
  <c r="J213" i="6"/>
  <c r="J20" i="8" l="1"/>
  <c r="F20" i="8"/>
  <c r="J43" i="8"/>
  <c r="J34" i="8"/>
  <c r="I20" i="8"/>
  <c r="E20" i="8"/>
  <c r="H22" i="8"/>
  <c r="D20" i="8"/>
  <c r="G29" i="8"/>
  <c r="G24" i="8"/>
  <c r="C29" i="8"/>
  <c r="G20" i="8"/>
  <c r="C20" i="8"/>
  <c r="G22" i="8"/>
  <c r="D24" i="8"/>
  <c r="C22" i="8"/>
  <c r="C24" i="8"/>
  <c r="H24" i="8"/>
  <c r="D29" i="8"/>
  <c r="H29" i="8"/>
  <c r="E22" i="8"/>
  <c r="I22" i="8"/>
  <c r="E24" i="8"/>
  <c r="I24" i="8"/>
  <c r="E29" i="8"/>
  <c r="I29" i="8"/>
  <c r="F22" i="8"/>
  <c r="J37" i="8"/>
  <c r="F24" i="8"/>
  <c r="J24" i="8"/>
  <c r="J42" i="8"/>
  <c r="F29" i="8"/>
  <c r="J44" i="8"/>
  <c r="H20" i="8"/>
  <c r="D22" i="8"/>
  <c r="J29" i="8"/>
  <c r="J35" i="8"/>
  <c r="J22" i="8"/>
  <c r="J39" i="8"/>
  <c r="J34" i="6"/>
  <c r="M215" i="6" s="1"/>
  <c r="J35" i="6"/>
  <c r="J37" i="6"/>
  <c r="J39" i="6"/>
  <c r="J42" i="6"/>
  <c r="J43" i="6"/>
  <c r="J44" i="6"/>
  <c r="J25" i="6"/>
  <c r="J24" i="6"/>
  <c r="J22" i="6"/>
  <c r="J20" i="6"/>
  <c r="F103" i="6"/>
  <c r="F102" i="6"/>
  <c r="F101" i="6"/>
  <c r="F100" i="6"/>
  <c r="F99" i="6"/>
  <c r="F97" i="6"/>
  <c r="F96" i="6"/>
  <c r="F95" i="6"/>
  <c r="F94" i="6"/>
  <c r="F93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F87" i="6"/>
  <c r="F88" i="6"/>
  <c r="F89" i="6"/>
  <c r="F90" i="6"/>
  <c r="F91" i="6"/>
  <c r="G25" i="6"/>
  <c r="H25" i="6"/>
  <c r="I25" i="6"/>
  <c r="H27" i="6"/>
  <c r="C171" i="6"/>
  <c r="D171" i="6"/>
  <c r="E171" i="6"/>
  <c r="F171" i="6"/>
  <c r="G171" i="6"/>
  <c r="H171" i="6"/>
  <c r="I171" i="6"/>
  <c r="C174" i="6"/>
  <c r="D174" i="6"/>
  <c r="E174" i="6"/>
  <c r="F174" i="6"/>
  <c r="G174" i="6"/>
  <c r="H174" i="6"/>
  <c r="I174" i="6"/>
  <c r="M216" i="6" l="1"/>
  <c r="M217" i="6"/>
  <c r="J38" i="8"/>
  <c r="H99" i="8"/>
  <c r="J40" i="6"/>
  <c r="C61" i="8"/>
  <c r="C67" i="8"/>
  <c r="G67" i="8"/>
  <c r="H61" i="8"/>
  <c r="D67" i="8"/>
  <c r="H67" i="8"/>
  <c r="E61" i="8"/>
  <c r="I61" i="8"/>
  <c r="I67" i="8"/>
  <c r="J41" i="8"/>
  <c r="F87" i="8"/>
  <c r="J36" i="8"/>
  <c r="J45" i="8"/>
  <c r="D61" i="8"/>
  <c r="J40" i="8"/>
  <c r="E67" i="8"/>
  <c r="J41" i="6"/>
  <c r="G61" i="8"/>
  <c r="J45" i="6"/>
  <c r="J91" i="8"/>
  <c r="F91" i="8"/>
  <c r="J90" i="8"/>
  <c r="F90" i="8"/>
  <c r="J89" i="8"/>
  <c r="F89" i="8"/>
  <c r="J36" i="6"/>
  <c r="I55" i="8"/>
  <c r="J38" i="6"/>
  <c r="J87" i="8"/>
  <c r="E55" i="8"/>
  <c r="F94" i="8"/>
  <c r="J94" i="8"/>
  <c r="F95" i="8"/>
  <c r="J95" i="8"/>
  <c r="F96" i="8"/>
  <c r="J96" i="8"/>
  <c r="F97" i="8"/>
  <c r="J97" i="8"/>
  <c r="F99" i="8"/>
  <c r="J99" i="8"/>
  <c r="F100" i="8"/>
  <c r="J100" i="8"/>
  <c r="F101" i="8"/>
  <c r="J101" i="8"/>
  <c r="F102" i="8"/>
  <c r="J102" i="8"/>
  <c r="F103" i="8"/>
  <c r="J103" i="8"/>
  <c r="C55" i="8"/>
  <c r="C92" i="8" s="1"/>
  <c r="H55" i="8"/>
  <c r="J88" i="8"/>
  <c r="F88" i="8"/>
  <c r="D55" i="8"/>
  <c r="G55" i="8"/>
  <c r="F61" i="8"/>
  <c r="F93" i="8"/>
  <c r="J61" i="8"/>
  <c r="J93" i="8"/>
  <c r="F67" i="8"/>
  <c r="J67" i="8"/>
  <c r="F55" i="8"/>
  <c r="J55" i="8"/>
  <c r="I103" i="8"/>
  <c r="H103" i="8"/>
  <c r="E103" i="8"/>
  <c r="D103" i="8"/>
  <c r="C103" i="8"/>
  <c r="I102" i="8"/>
  <c r="H102" i="8"/>
  <c r="E102" i="8"/>
  <c r="D102" i="8"/>
  <c r="C102" i="8"/>
  <c r="I101" i="8"/>
  <c r="H101" i="8"/>
  <c r="E101" i="8"/>
  <c r="D101" i="8"/>
  <c r="C101" i="8"/>
  <c r="I100" i="8"/>
  <c r="H100" i="8"/>
  <c r="E100" i="8"/>
  <c r="D100" i="8"/>
  <c r="C100" i="8"/>
  <c r="I99" i="8"/>
  <c r="E99" i="8"/>
  <c r="D99" i="8"/>
  <c r="C99" i="8"/>
  <c r="I97" i="8"/>
  <c r="H97" i="8"/>
  <c r="E97" i="8"/>
  <c r="D97" i="8"/>
  <c r="C97" i="8"/>
  <c r="I96" i="8"/>
  <c r="H96" i="8"/>
  <c r="E96" i="8"/>
  <c r="D96" i="8"/>
  <c r="C96" i="8"/>
  <c r="I95" i="8"/>
  <c r="H95" i="8"/>
  <c r="E95" i="8"/>
  <c r="D95" i="8"/>
  <c r="C95" i="8"/>
  <c r="I94" i="8"/>
  <c r="H94" i="8"/>
  <c r="E94" i="8"/>
  <c r="D94" i="8"/>
  <c r="C94" i="8"/>
  <c r="I93" i="8"/>
  <c r="H93" i="8"/>
  <c r="E93" i="8"/>
  <c r="D93" i="8"/>
  <c r="C93" i="8"/>
  <c r="I91" i="8"/>
  <c r="H91" i="8"/>
  <c r="E91" i="8"/>
  <c r="D91" i="8"/>
  <c r="C91" i="8"/>
  <c r="I90" i="8"/>
  <c r="H90" i="8"/>
  <c r="E90" i="8"/>
  <c r="D90" i="8"/>
  <c r="C90" i="8"/>
  <c r="I89" i="8"/>
  <c r="H89" i="8"/>
  <c r="E89" i="8"/>
  <c r="D89" i="8"/>
  <c r="C89" i="8"/>
  <c r="I88" i="8"/>
  <c r="H88" i="8"/>
  <c r="E88" i="8"/>
  <c r="D88" i="8"/>
  <c r="C88" i="8"/>
  <c r="I87" i="8"/>
  <c r="H87" i="8"/>
  <c r="E87" i="8"/>
  <c r="D87" i="8"/>
  <c r="C87" i="8"/>
  <c r="I44" i="8"/>
  <c r="H44" i="8"/>
  <c r="F44" i="8"/>
  <c r="E44" i="8"/>
  <c r="D44" i="8"/>
  <c r="C44" i="8"/>
  <c r="H43" i="8"/>
  <c r="F43" i="8"/>
  <c r="E43" i="8"/>
  <c r="D43" i="8"/>
  <c r="C43" i="8"/>
  <c r="I42" i="8"/>
  <c r="H42" i="8"/>
  <c r="F42" i="8"/>
  <c r="E42" i="8"/>
  <c r="D42" i="8"/>
  <c r="C42" i="8"/>
  <c r="F41" i="8"/>
  <c r="E41" i="8"/>
  <c r="D41" i="8"/>
  <c r="C41" i="8"/>
  <c r="I39" i="8"/>
  <c r="H39" i="8"/>
  <c r="F39" i="8"/>
  <c r="E39" i="8"/>
  <c r="D39" i="8"/>
  <c r="C39" i="8"/>
  <c r="I37" i="8"/>
  <c r="H37" i="8"/>
  <c r="F37" i="8"/>
  <c r="E37" i="8"/>
  <c r="D37" i="8"/>
  <c r="C37" i="8"/>
  <c r="I35" i="8"/>
  <c r="H35" i="8"/>
  <c r="F35" i="8"/>
  <c r="E35" i="8"/>
  <c r="D35" i="8"/>
  <c r="C35" i="8"/>
  <c r="I34" i="8"/>
  <c r="H34" i="8"/>
  <c r="F34" i="8"/>
  <c r="E34" i="8"/>
  <c r="D34" i="8"/>
  <c r="C34" i="8"/>
  <c r="I43" i="8"/>
  <c r="I41" i="8"/>
  <c r="H41" i="8"/>
  <c r="J29" i="6"/>
  <c r="D92" i="8" l="1"/>
  <c r="C104" i="8"/>
  <c r="E104" i="8"/>
  <c r="D104" i="8"/>
  <c r="I104" i="8"/>
  <c r="I98" i="8"/>
  <c r="E98" i="8"/>
  <c r="D98" i="8"/>
  <c r="H104" i="8"/>
  <c r="C98" i="8"/>
  <c r="J104" i="8"/>
  <c r="F98" i="8"/>
  <c r="H98" i="8"/>
  <c r="J98" i="8"/>
  <c r="F104" i="8"/>
  <c r="E92" i="8"/>
  <c r="C38" i="8"/>
  <c r="J92" i="8"/>
  <c r="I92" i="8"/>
  <c r="F92" i="8"/>
  <c r="H92" i="8"/>
  <c r="F45" i="8"/>
  <c r="F40" i="8"/>
  <c r="E40" i="8"/>
  <c r="I40" i="8"/>
  <c r="F36" i="8"/>
  <c r="C36" i="8"/>
  <c r="I36" i="8"/>
  <c r="D45" i="8"/>
  <c r="H45" i="8"/>
  <c r="E38" i="8"/>
  <c r="F38" i="8"/>
  <c r="C40" i="8"/>
  <c r="E45" i="8"/>
  <c r="I45" i="8"/>
  <c r="I38" i="8"/>
  <c r="D36" i="8"/>
  <c r="H36" i="8"/>
  <c r="D40" i="8"/>
  <c r="H40" i="8"/>
  <c r="E36" i="8"/>
  <c r="D38" i="8"/>
  <c r="H38" i="8"/>
  <c r="C45" i="8"/>
  <c r="I214" i="6" l="1"/>
  <c r="I213" i="6"/>
  <c r="I29" i="6" l="1"/>
  <c r="I24" i="6"/>
  <c r="I22" i="6"/>
  <c r="I20" i="6"/>
  <c r="AY75" i="1"/>
  <c r="I104" i="6" l="1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I44" i="6"/>
  <c r="I42" i="6"/>
  <c r="I39" i="6"/>
  <c r="I37" i="6"/>
  <c r="I35" i="6"/>
  <c r="I34" i="6"/>
  <c r="L215" i="6" s="1"/>
  <c r="L216" i="6" l="1"/>
  <c r="L217" i="6"/>
  <c r="I38" i="6"/>
  <c r="I40" i="6"/>
  <c r="I45" i="6"/>
  <c r="I36" i="6"/>
  <c r="H213" i="6" l="1"/>
  <c r="H214" i="6"/>
  <c r="H104" i="6" l="1"/>
  <c r="H92" i="6"/>
  <c r="H98" i="6"/>
  <c r="H103" i="6"/>
  <c r="H102" i="6"/>
  <c r="H101" i="6"/>
  <c r="H100" i="6"/>
  <c r="H99" i="6"/>
  <c r="H97" i="6"/>
  <c r="H96" i="6"/>
  <c r="H95" i="6"/>
  <c r="H94" i="6"/>
  <c r="H93" i="6"/>
  <c r="H91" i="6"/>
  <c r="H90" i="6"/>
  <c r="H89" i="6"/>
  <c r="H88" i="6"/>
  <c r="H87" i="6"/>
  <c r="D103" i="6"/>
  <c r="D102" i="6"/>
  <c r="D101" i="6"/>
  <c r="D100" i="6"/>
  <c r="D99" i="6"/>
  <c r="D97" i="6"/>
  <c r="D96" i="6"/>
  <c r="D95" i="6"/>
  <c r="D94" i="6"/>
  <c r="D93" i="6"/>
  <c r="D91" i="6"/>
  <c r="D90" i="6"/>
  <c r="D89" i="6"/>
  <c r="D88" i="6"/>
  <c r="D87" i="6"/>
  <c r="H44" i="6"/>
  <c r="H42" i="6"/>
  <c r="H39" i="6"/>
  <c r="H37" i="6"/>
  <c r="H35" i="6"/>
  <c r="H34" i="6"/>
  <c r="K215" i="6" s="1"/>
  <c r="I43" i="6"/>
  <c r="H29" i="6"/>
  <c r="I41" i="6"/>
  <c r="H24" i="6"/>
  <c r="H22" i="6"/>
  <c r="H20" i="6"/>
  <c r="AX75" i="1"/>
  <c r="K216" i="6" l="1"/>
  <c r="K217" i="6"/>
  <c r="H40" i="6"/>
  <c r="H43" i="6"/>
  <c r="H45" i="6"/>
  <c r="H36" i="6"/>
  <c r="H38" i="6"/>
  <c r="H41" i="6" l="1"/>
  <c r="G214" i="6" l="1"/>
  <c r="G213" i="6"/>
  <c r="J215" i="6" l="1"/>
  <c r="G20" i="6"/>
  <c r="AW75" i="1"/>
  <c r="J217" i="6" l="1"/>
  <c r="J216" i="6"/>
  <c r="C103" i="6" l="1"/>
  <c r="C102" i="6"/>
  <c r="C101" i="6"/>
  <c r="C100" i="6"/>
  <c r="C99" i="6"/>
  <c r="C97" i="6"/>
  <c r="C96" i="6"/>
  <c r="C95" i="6"/>
  <c r="C94" i="6"/>
  <c r="C93" i="6"/>
  <c r="C91" i="6"/>
  <c r="C90" i="6"/>
  <c r="C89" i="6"/>
  <c r="C88" i="6"/>
  <c r="C87" i="6"/>
  <c r="G22" i="6"/>
  <c r="G24" i="6"/>
  <c r="G29" i="6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O27" i="2"/>
  <c r="AO27" i="9" s="1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D34" i="2"/>
  <c r="E34" i="2"/>
  <c r="F34" i="2"/>
  <c r="G34" i="2"/>
  <c r="H34" i="2"/>
  <c r="I34" i="2"/>
  <c r="J34" i="2"/>
  <c r="K34" i="2"/>
  <c r="L34" i="2"/>
  <c r="M34" i="2"/>
  <c r="N34" i="2"/>
  <c r="N36" i="2" s="1"/>
  <c r="O34" i="2"/>
  <c r="P34" i="2"/>
  <c r="P36" i="2" s="1"/>
  <c r="Q34" i="2"/>
  <c r="R34" i="2"/>
  <c r="S34" i="2"/>
  <c r="T34" i="2"/>
  <c r="U34" i="2"/>
  <c r="V34" i="2"/>
  <c r="V36" i="2" s="1"/>
  <c r="W34" i="2"/>
  <c r="X34" i="2"/>
  <c r="X36" i="2" s="1"/>
  <c r="Y34" i="2"/>
  <c r="Z34" i="2"/>
  <c r="AA34" i="2"/>
  <c r="AB34" i="2"/>
  <c r="AC34" i="2"/>
  <c r="AD34" i="2"/>
  <c r="AD36" i="2" s="1"/>
  <c r="AE34" i="2"/>
  <c r="AF34" i="2"/>
  <c r="AF36" i="2" s="1"/>
  <c r="AG34" i="2"/>
  <c r="AH34" i="2"/>
  <c r="AI34" i="2"/>
  <c r="AJ34" i="2"/>
  <c r="AK34" i="2"/>
  <c r="AL34" i="2"/>
  <c r="AL36" i="2" s="1"/>
  <c r="AM34" i="2"/>
  <c r="AN34" i="2"/>
  <c r="AN36" i="2" s="1"/>
  <c r="AO34" i="2"/>
  <c r="AP34" i="2"/>
  <c r="AQ34" i="2"/>
  <c r="AR34" i="2"/>
  <c r="D35" i="2"/>
  <c r="E35" i="2"/>
  <c r="E36" i="2" s="1"/>
  <c r="F35" i="2"/>
  <c r="G35" i="2"/>
  <c r="G36" i="2" s="1"/>
  <c r="H35" i="2"/>
  <c r="I35" i="2"/>
  <c r="I36" i="2" s="1"/>
  <c r="J35" i="2"/>
  <c r="K35" i="2"/>
  <c r="L35" i="2"/>
  <c r="M35" i="2"/>
  <c r="M36" i="2" s="1"/>
  <c r="N35" i="2"/>
  <c r="O35" i="2"/>
  <c r="O36" i="2" s="1"/>
  <c r="P35" i="2"/>
  <c r="Q35" i="2"/>
  <c r="Q36" i="2" s="1"/>
  <c r="R35" i="2"/>
  <c r="S35" i="2"/>
  <c r="S36" i="2" s="1"/>
  <c r="T35" i="2"/>
  <c r="U35" i="2"/>
  <c r="U36" i="2" s="1"/>
  <c r="V35" i="2"/>
  <c r="W35" i="2"/>
  <c r="W36" i="2" s="1"/>
  <c r="X35" i="2"/>
  <c r="Y35" i="2"/>
  <c r="Y36" i="2" s="1"/>
  <c r="Z35" i="2"/>
  <c r="AA35" i="2"/>
  <c r="AA36" i="2" s="1"/>
  <c r="AB35" i="2"/>
  <c r="AC35" i="2"/>
  <c r="AC36" i="2" s="1"/>
  <c r="AD35" i="2"/>
  <c r="AE35" i="2"/>
  <c r="AF35" i="2"/>
  <c r="AG35" i="2"/>
  <c r="AG36" i="2" s="1"/>
  <c r="AH35" i="2"/>
  <c r="AI35" i="2"/>
  <c r="AI36" i="2" s="1"/>
  <c r="AJ35" i="2"/>
  <c r="AK35" i="2"/>
  <c r="AK36" i="2" s="1"/>
  <c r="AL35" i="2"/>
  <c r="AM35" i="2"/>
  <c r="AM36" i="2" s="1"/>
  <c r="AN35" i="2"/>
  <c r="AO35" i="2"/>
  <c r="AO36" i="2" s="1"/>
  <c r="AP35" i="2"/>
  <c r="AQ35" i="2"/>
  <c r="AQ36" i="2" s="1"/>
  <c r="AR35" i="2"/>
  <c r="C36" i="2"/>
  <c r="H36" i="2"/>
  <c r="AE36" i="2"/>
  <c r="D37" i="2"/>
  <c r="E37" i="2"/>
  <c r="E38" i="2" s="1"/>
  <c r="F37" i="2"/>
  <c r="G37" i="2"/>
  <c r="G38" i="2" s="1"/>
  <c r="H37" i="2"/>
  <c r="I37" i="2"/>
  <c r="I38" i="2" s="1"/>
  <c r="J37" i="2"/>
  <c r="J38" i="2" s="1"/>
  <c r="K37" i="2"/>
  <c r="K38" i="2" s="1"/>
  <c r="L37" i="2"/>
  <c r="M37" i="2"/>
  <c r="M38" i="2" s="1"/>
  <c r="N37" i="2"/>
  <c r="O37" i="2"/>
  <c r="P37" i="2"/>
  <c r="P38" i="2" s="1"/>
  <c r="Q37" i="2"/>
  <c r="Q38" i="2" s="1"/>
  <c r="R37" i="2"/>
  <c r="R38" i="2" s="1"/>
  <c r="S37" i="2"/>
  <c r="S38" i="2" s="1"/>
  <c r="T37" i="2"/>
  <c r="U37" i="2"/>
  <c r="U38" i="2" s="1"/>
  <c r="V37" i="2"/>
  <c r="W37" i="2"/>
  <c r="X37" i="2"/>
  <c r="X38" i="2" s="1"/>
  <c r="Y37" i="2"/>
  <c r="Y38" i="2" s="1"/>
  <c r="Z37" i="2"/>
  <c r="Z38" i="2" s="1"/>
  <c r="AA37" i="2"/>
  <c r="AA38" i="2" s="1"/>
  <c r="AB37" i="2"/>
  <c r="AC37" i="2"/>
  <c r="AD37" i="2"/>
  <c r="AE37" i="2"/>
  <c r="AF37" i="2"/>
  <c r="AF38" i="2" s="1"/>
  <c r="AG37" i="2"/>
  <c r="AG38" i="2" s="1"/>
  <c r="AH37" i="2"/>
  <c r="AH38" i="2" s="1"/>
  <c r="AI37" i="2"/>
  <c r="AI38" i="2" s="1"/>
  <c r="AJ37" i="2"/>
  <c r="AK37" i="2"/>
  <c r="AL37" i="2"/>
  <c r="AM37" i="2"/>
  <c r="AN37" i="2"/>
  <c r="AN38" i="2" s="1"/>
  <c r="AO37" i="2"/>
  <c r="AO38" i="2" s="1"/>
  <c r="AP37" i="2"/>
  <c r="AP38" i="2" s="1"/>
  <c r="AQ37" i="2"/>
  <c r="AQ38" i="2" s="1"/>
  <c r="AR37" i="2"/>
  <c r="O38" i="2"/>
  <c r="W38" i="2"/>
  <c r="AE38" i="2"/>
  <c r="AM38" i="2"/>
  <c r="C39" i="2"/>
  <c r="C40" i="2" s="1"/>
  <c r="D39" i="2"/>
  <c r="E39" i="2"/>
  <c r="F39" i="2"/>
  <c r="G39" i="2"/>
  <c r="G40" i="2" s="1"/>
  <c r="H39" i="2"/>
  <c r="H40" i="2" s="1"/>
  <c r="I39" i="2"/>
  <c r="I40" i="2" s="1"/>
  <c r="J39" i="2"/>
  <c r="J40" i="2" s="1"/>
  <c r="K39" i="2"/>
  <c r="K40" i="2" s="1"/>
  <c r="L39" i="2"/>
  <c r="M39" i="2"/>
  <c r="N39" i="2"/>
  <c r="O39" i="2"/>
  <c r="O40" i="2" s="1"/>
  <c r="P39" i="2"/>
  <c r="P40" i="2" s="1"/>
  <c r="Q39" i="2"/>
  <c r="Q40" i="2" s="1"/>
  <c r="R39" i="2"/>
  <c r="R40" i="2" s="1"/>
  <c r="S39" i="2"/>
  <c r="S40" i="2" s="1"/>
  <c r="T39" i="2"/>
  <c r="U39" i="2"/>
  <c r="V39" i="2"/>
  <c r="W39" i="2"/>
  <c r="W40" i="2" s="1"/>
  <c r="X39" i="2"/>
  <c r="X40" i="2" s="1"/>
  <c r="Y39" i="2"/>
  <c r="Y40" i="2" s="1"/>
  <c r="Z39" i="2"/>
  <c r="Z40" i="2" s="1"/>
  <c r="AA39" i="2"/>
  <c r="AA40" i="2" s="1"/>
  <c r="AB39" i="2"/>
  <c r="AC39" i="2"/>
  <c r="AD39" i="2"/>
  <c r="AE39" i="2"/>
  <c r="AE40" i="2" s="1"/>
  <c r="AF39" i="2"/>
  <c r="AF40" i="2" s="1"/>
  <c r="AG39" i="2"/>
  <c r="AG40" i="2" s="1"/>
  <c r="AH39" i="2"/>
  <c r="AH40" i="2" s="1"/>
  <c r="AI39" i="2"/>
  <c r="AI40" i="2" s="1"/>
  <c r="AJ39" i="2"/>
  <c r="AK39" i="2"/>
  <c r="AL39" i="2"/>
  <c r="AM39" i="2"/>
  <c r="AM40" i="2" s="1"/>
  <c r="AN39" i="2"/>
  <c r="AN40" i="2" s="1"/>
  <c r="AO39" i="2"/>
  <c r="AO40" i="2" s="1"/>
  <c r="AP39" i="2"/>
  <c r="AP40" i="2" s="1"/>
  <c r="AQ39" i="2"/>
  <c r="AQ40" i="2" s="1"/>
  <c r="AR39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D44" i="2"/>
  <c r="E44" i="2"/>
  <c r="F44" i="2"/>
  <c r="G44" i="2"/>
  <c r="G45" i="2" s="1"/>
  <c r="H44" i="2"/>
  <c r="H45" i="2" s="1"/>
  <c r="I44" i="2"/>
  <c r="I45" i="2" s="1"/>
  <c r="J44" i="2"/>
  <c r="K44" i="2"/>
  <c r="K45" i="2" s="1"/>
  <c r="L44" i="2"/>
  <c r="M44" i="2"/>
  <c r="N44" i="2"/>
  <c r="O44" i="2"/>
  <c r="P44" i="2"/>
  <c r="P45" i="2" s="1"/>
  <c r="Q44" i="2"/>
  <c r="Q45" i="2" s="1"/>
  <c r="R44" i="2"/>
  <c r="S44" i="2"/>
  <c r="S45" i="2" s="1"/>
  <c r="T44" i="2"/>
  <c r="U44" i="2"/>
  <c r="V44" i="2"/>
  <c r="W44" i="2"/>
  <c r="X44" i="2"/>
  <c r="X45" i="2" s="1"/>
  <c r="Y44" i="2"/>
  <c r="Y45" i="2" s="1"/>
  <c r="Z44" i="2"/>
  <c r="AA44" i="2"/>
  <c r="AA45" i="2" s="1"/>
  <c r="AB44" i="2"/>
  <c r="AC44" i="2"/>
  <c r="AD44" i="2"/>
  <c r="AE44" i="2"/>
  <c r="AF44" i="2"/>
  <c r="AF45" i="2" s="1"/>
  <c r="AG44" i="2"/>
  <c r="AG45" i="2" s="1"/>
  <c r="AH44" i="2"/>
  <c r="AI44" i="2"/>
  <c r="AI45" i="2" s="1"/>
  <c r="AJ44" i="2"/>
  <c r="AK44" i="2"/>
  <c r="AL44" i="2"/>
  <c r="AM44" i="2"/>
  <c r="AM45" i="2" s="1"/>
  <c r="AN44" i="2"/>
  <c r="AN45" i="2" s="1"/>
  <c r="AO44" i="2"/>
  <c r="AO45" i="2" s="1"/>
  <c r="AP44" i="2"/>
  <c r="AR44" i="2"/>
  <c r="C45" i="2"/>
  <c r="O45" i="2"/>
  <c r="W45" i="2"/>
  <c r="AE45" i="2"/>
  <c r="AQ45" i="2"/>
  <c r="N64" i="2"/>
  <c r="N64" i="9" s="1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M82" i="2"/>
  <c r="AN82" i="2"/>
  <c r="AO82" i="2"/>
  <c r="AP82" i="2"/>
  <c r="AQ82" i="2"/>
  <c r="AR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M90" i="2"/>
  <c r="AN90" i="2"/>
  <c r="AO90" i="2"/>
  <c r="AP90" i="2"/>
  <c r="AQ90" i="2"/>
  <c r="AR90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M98" i="2"/>
  <c r="AN98" i="2"/>
  <c r="AO98" i="2"/>
  <c r="AP98" i="2"/>
  <c r="AQ98" i="2"/>
  <c r="AR98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R101" i="2"/>
  <c r="AN113" i="2"/>
  <c r="AO113" i="2"/>
  <c r="AP113" i="2"/>
  <c r="AP189" i="2" s="1"/>
  <c r="AQ113" i="2"/>
  <c r="AQ189" i="2" s="1"/>
  <c r="AR113" i="2"/>
  <c r="AR189" i="2" s="1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N152" i="2"/>
  <c r="AO152" i="2"/>
  <c r="AP152" i="2"/>
  <c r="AQ152" i="2"/>
  <c r="AR152" i="2"/>
  <c r="AN155" i="2"/>
  <c r="AO155" i="2"/>
  <c r="AQ155" i="2"/>
  <c r="AR155" i="2"/>
  <c r="C167" i="2"/>
  <c r="C110" i="9" s="1"/>
  <c r="D167" i="2"/>
  <c r="D110" i="9" s="1"/>
  <c r="E167" i="2"/>
  <c r="E110" i="9" s="1"/>
  <c r="F167" i="2"/>
  <c r="F110" i="9" s="1"/>
  <c r="G167" i="2"/>
  <c r="G110" i="9" s="1"/>
  <c r="H167" i="2"/>
  <c r="H110" i="9" s="1"/>
  <c r="I167" i="2"/>
  <c r="I110" i="9" s="1"/>
  <c r="J167" i="2"/>
  <c r="J110" i="9" s="1"/>
  <c r="K167" i="2"/>
  <c r="K110" i="9" s="1"/>
  <c r="L167" i="2"/>
  <c r="L110" i="9" s="1"/>
  <c r="M167" i="2"/>
  <c r="M110" i="9" s="1"/>
  <c r="N167" i="2"/>
  <c r="N110" i="9" s="1"/>
  <c r="O167" i="2"/>
  <c r="O110" i="9" s="1"/>
  <c r="P167" i="2"/>
  <c r="P110" i="9" s="1"/>
  <c r="Q167" i="2"/>
  <c r="Q110" i="9" s="1"/>
  <c r="R167" i="2"/>
  <c r="R110" i="9" s="1"/>
  <c r="S167" i="2"/>
  <c r="S110" i="9" s="1"/>
  <c r="T167" i="2"/>
  <c r="T110" i="9" s="1"/>
  <c r="U167" i="2"/>
  <c r="U110" i="9" s="1"/>
  <c r="V167" i="2"/>
  <c r="V110" i="9" s="1"/>
  <c r="W167" i="2"/>
  <c r="W110" i="9" s="1"/>
  <c r="X167" i="2"/>
  <c r="X110" i="9" s="1"/>
  <c r="Y167" i="2"/>
  <c r="Y110" i="9" s="1"/>
  <c r="Z167" i="2"/>
  <c r="Z110" i="9" s="1"/>
  <c r="AA167" i="2"/>
  <c r="AA110" i="9" s="1"/>
  <c r="AB167" i="2"/>
  <c r="AB110" i="9" s="1"/>
  <c r="AC167" i="2"/>
  <c r="AC110" i="9" s="1"/>
  <c r="AD167" i="2"/>
  <c r="AD110" i="9" s="1"/>
  <c r="AE167" i="2"/>
  <c r="AE110" i="9" s="1"/>
  <c r="AF167" i="2"/>
  <c r="AF110" i="9" s="1"/>
  <c r="AG167" i="2"/>
  <c r="AG110" i="9" s="1"/>
  <c r="AH167" i="2"/>
  <c r="AH110" i="9" s="1"/>
  <c r="AI167" i="2"/>
  <c r="AI110" i="9" s="1"/>
  <c r="AJ167" i="2"/>
  <c r="AJ110" i="9" s="1"/>
  <c r="AK167" i="2"/>
  <c r="AK110" i="9" s="1"/>
  <c r="AL167" i="2"/>
  <c r="AL110" i="9" s="1"/>
  <c r="AM167" i="2"/>
  <c r="AM110" i="9" s="1"/>
  <c r="AN167" i="2"/>
  <c r="AN110" i="9" s="1"/>
  <c r="AO167" i="2"/>
  <c r="AO110" i="9" s="1"/>
  <c r="AP167" i="2"/>
  <c r="AP110" i="9" s="1"/>
  <c r="AQ167" i="2"/>
  <c r="AQ110" i="9" s="1"/>
  <c r="C172" i="2"/>
  <c r="C115" i="9" s="1"/>
  <c r="D172" i="2"/>
  <c r="D115" i="9" s="1"/>
  <c r="E172" i="2"/>
  <c r="E115" i="9" s="1"/>
  <c r="F172" i="2"/>
  <c r="F115" i="9" s="1"/>
  <c r="G172" i="2"/>
  <c r="G115" i="9" s="1"/>
  <c r="H172" i="2"/>
  <c r="H115" i="9" s="1"/>
  <c r="I172" i="2"/>
  <c r="I115" i="9" s="1"/>
  <c r="J172" i="2"/>
  <c r="J115" i="9" s="1"/>
  <c r="K172" i="2"/>
  <c r="K115" i="9" s="1"/>
  <c r="L172" i="2"/>
  <c r="L115" i="9" s="1"/>
  <c r="M172" i="2"/>
  <c r="M115" i="9" s="1"/>
  <c r="N172" i="2"/>
  <c r="N115" i="9" s="1"/>
  <c r="O172" i="2"/>
  <c r="O115" i="9" s="1"/>
  <c r="P172" i="2"/>
  <c r="P115" i="9" s="1"/>
  <c r="Q172" i="2"/>
  <c r="Q115" i="9" s="1"/>
  <c r="R172" i="2"/>
  <c r="R115" i="9" s="1"/>
  <c r="S172" i="2"/>
  <c r="S115" i="9" s="1"/>
  <c r="T172" i="2"/>
  <c r="T115" i="9" s="1"/>
  <c r="U172" i="2"/>
  <c r="U115" i="9" s="1"/>
  <c r="V172" i="2"/>
  <c r="V115" i="9" s="1"/>
  <c r="W172" i="2"/>
  <c r="W115" i="9" s="1"/>
  <c r="X172" i="2"/>
  <c r="X115" i="9" s="1"/>
  <c r="Y172" i="2"/>
  <c r="Y115" i="9" s="1"/>
  <c r="Z172" i="2"/>
  <c r="Z115" i="9" s="1"/>
  <c r="AA172" i="2"/>
  <c r="AA115" i="9" s="1"/>
  <c r="AB172" i="2"/>
  <c r="AB115" i="9" s="1"/>
  <c r="AC172" i="2"/>
  <c r="AC115" i="9" s="1"/>
  <c r="AD172" i="2"/>
  <c r="AD115" i="9" s="1"/>
  <c r="AE172" i="2"/>
  <c r="AE115" i="9" s="1"/>
  <c r="AF172" i="2"/>
  <c r="AF115" i="9" s="1"/>
  <c r="AG172" i="2"/>
  <c r="AG115" i="9" s="1"/>
  <c r="AH172" i="2"/>
  <c r="AH115" i="9" s="1"/>
  <c r="AI172" i="2"/>
  <c r="AI115" i="9" s="1"/>
  <c r="AJ172" i="2"/>
  <c r="AJ115" i="9" s="1"/>
  <c r="AK172" i="2"/>
  <c r="AK115" i="9" s="1"/>
  <c r="AL172" i="2"/>
  <c r="AL115" i="9" s="1"/>
  <c r="AM172" i="2"/>
  <c r="AM115" i="9" s="1"/>
  <c r="AN172" i="2"/>
  <c r="AN115" i="9" s="1"/>
  <c r="AO172" i="2"/>
  <c r="AO115" i="9" s="1"/>
  <c r="AP172" i="2"/>
  <c r="AP115" i="9" s="1"/>
  <c r="AQ172" i="2"/>
  <c r="AQ115" i="9" s="1"/>
  <c r="X177" i="2"/>
  <c r="X120" i="9" s="1"/>
  <c r="D179" i="2"/>
  <c r="D122" i="9" s="1"/>
  <c r="AG179" i="2"/>
  <c r="AG122" i="9" s="1"/>
  <c r="C181" i="2"/>
  <c r="C124" i="9" s="1"/>
  <c r="E181" i="2"/>
  <c r="E124" i="9" s="1"/>
  <c r="F181" i="2"/>
  <c r="F124" i="9" s="1"/>
  <c r="G181" i="2"/>
  <c r="G124" i="9" s="1"/>
  <c r="H181" i="2"/>
  <c r="H124" i="9" s="1"/>
  <c r="I181" i="2"/>
  <c r="I124" i="9" s="1"/>
  <c r="J181" i="2"/>
  <c r="J124" i="9" s="1"/>
  <c r="K181" i="2"/>
  <c r="K124" i="9" s="1"/>
  <c r="L181" i="2"/>
  <c r="L124" i="9" s="1"/>
  <c r="M181" i="2"/>
  <c r="M124" i="9" s="1"/>
  <c r="N181" i="2"/>
  <c r="N124" i="9" s="1"/>
  <c r="O181" i="2"/>
  <c r="O124" i="9" s="1"/>
  <c r="P181" i="2"/>
  <c r="P124" i="9" s="1"/>
  <c r="Q181" i="2"/>
  <c r="Q124" i="9" s="1"/>
  <c r="R181" i="2"/>
  <c r="R124" i="9" s="1"/>
  <c r="S181" i="2"/>
  <c r="S124" i="9" s="1"/>
  <c r="T181" i="2"/>
  <c r="T124" i="9" s="1"/>
  <c r="U181" i="2"/>
  <c r="U124" i="9" s="1"/>
  <c r="V181" i="2"/>
  <c r="V124" i="9" s="1"/>
  <c r="W181" i="2"/>
  <c r="W124" i="9" s="1"/>
  <c r="Y181" i="2"/>
  <c r="Y124" i="9" s="1"/>
  <c r="Z181" i="2"/>
  <c r="Z124" i="9" s="1"/>
  <c r="AA181" i="2"/>
  <c r="AA124" i="9" s="1"/>
  <c r="AB181" i="2"/>
  <c r="AB124" i="9" s="1"/>
  <c r="AC181" i="2"/>
  <c r="AC124" i="9" s="1"/>
  <c r="AD181" i="2"/>
  <c r="AD124" i="9" s="1"/>
  <c r="AE181" i="2"/>
  <c r="AE124" i="9" s="1"/>
  <c r="AF181" i="2"/>
  <c r="AF124" i="9" s="1"/>
  <c r="AH181" i="2"/>
  <c r="AH124" i="9" s="1"/>
  <c r="AI181" i="2"/>
  <c r="AI124" i="9" s="1"/>
  <c r="AJ181" i="2"/>
  <c r="AJ124" i="9" s="1"/>
  <c r="AK181" i="2"/>
  <c r="AK124" i="9" s="1"/>
  <c r="AL181" i="2"/>
  <c r="AL124" i="9" s="1"/>
  <c r="AM181" i="2"/>
  <c r="AM124" i="9" s="1"/>
  <c r="AN181" i="2"/>
  <c r="AN124" i="9" s="1"/>
  <c r="AO181" i="2"/>
  <c r="AO124" i="9" s="1"/>
  <c r="AP181" i="2"/>
  <c r="AP124" i="9" s="1"/>
  <c r="AQ181" i="2"/>
  <c r="AQ124" i="9" s="1"/>
  <c r="AN187" i="2"/>
  <c r="AO187" i="2"/>
  <c r="AP187" i="2"/>
  <c r="AQ187" i="2"/>
  <c r="AR187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N193" i="2"/>
  <c r="AO193" i="2"/>
  <c r="AP193" i="2"/>
  <c r="AQ193" i="2"/>
  <c r="AR193" i="2"/>
  <c r="AN194" i="2"/>
  <c r="AO194" i="2"/>
  <c r="AP194" i="2"/>
  <c r="AQ194" i="2"/>
  <c r="AR194" i="2"/>
  <c r="F104" i="6"/>
  <c r="D104" i="6"/>
  <c r="C104" i="6"/>
  <c r="F98" i="6"/>
  <c r="D98" i="6"/>
  <c r="C98" i="6"/>
  <c r="F92" i="6"/>
  <c r="D92" i="6"/>
  <c r="C92" i="6"/>
  <c r="F44" i="6"/>
  <c r="E44" i="6"/>
  <c r="D44" i="6"/>
  <c r="C44" i="6"/>
  <c r="F43" i="6"/>
  <c r="E43" i="6"/>
  <c r="D43" i="6"/>
  <c r="C43" i="6"/>
  <c r="F42" i="6"/>
  <c r="E42" i="6"/>
  <c r="D42" i="6"/>
  <c r="C42" i="6"/>
  <c r="F41" i="6"/>
  <c r="E41" i="6"/>
  <c r="D41" i="6"/>
  <c r="C41" i="6"/>
  <c r="F39" i="6"/>
  <c r="E39" i="6"/>
  <c r="D39" i="6"/>
  <c r="C39" i="6"/>
  <c r="F37" i="6"/>
  <c r="E37" i="6"/>
  <c r="D37" i="6"/>
  <c r="C37" i="6"/>
  <c r="F35" i="6"/>
  <c r="E35" i="6"/>
  <c r="D35" i="6"/>
  <c r="C35" i="6"/>
  <c r="F34" i="6"/>
  <c r="I215" i="6" s="1"/>
  <c r="E34" i="6"/>
  <c r="D34" i="6"/>
  <c r="C34" i="6"/>
  <c r="H38" i="2" l="1"/>
  <c r="AJ45" i="2"/>
  <c r="AB45" i="2"/>
  <c r="T45" i="2"/>
  <c r="L45" i="2"/>
  <c r="D45" i="2"/>
  <c r="AR38" i="2"/>
  <c r="AJ38" i="2"/>
  <c r="AB38" i="2"/>
  <c r="T38" i="2"/>
  <c r="L38" i="2"/>
  <c r="D38" i="2"/>
  <c r="H215" i="6"/>
  <c r="G215" i="6"/>
  <c r="G217" i="6"/>
  <c r="G216" i="6"/>
  <c r="H217" i="6"/>
  <c r="H216" i="6"/>
  <c r="I217" i="6"/>
  <c r="I216" i="6"/>
  <c r="X181" i="2"/>
  <c r="X124" i="9" s="1"/>
  <c r="K36" i="2"/>
  <c r="D181" i="2"/>
  <c r="D124" i="9" s="1"/>
  <c r="F36" i="2"/>
  <c r="AR36" i="2"/>
  <c r="AJ36" i="2"/>
  <c r="AB36" i="2"/>
  <c r="T36" i="2"/>
  <c r="L36" i="2"/>
  <c r="D36" i="2"/>
  <c r="AR45" i="2"/>
  <c r="AR40" i="2"/>
  <c r="AJ40" i="2"/>
  <c r="AB40" i="2"/>
  <c r="T40" i="2"/>
  <c r="L40" i="2"/>
  <c r="D40" i="2"/>
  <c r="O92" i="9"/>
  <c r="N92" i="9"/>
  <c r="AK40" i="2"/>
  <c r="AC40" i="2"/>
  <c r="U40" i="2"/>
  <c r="M40" i="2"/>
  <c r="E40" i="2"/>
  <c r="AP43" i="9"/>
  <c r="AG181" i="2"/>
  <c r="AG124" i="9" s="1"/>
  <c r="AP36" i="2"/>
  <c r="AH36" i="2"/>
  <c r="AL38" i="2"/>
  <c r="AD38" i="2"/>
  <c r="V38" i="2"/>
  <c r="N38" i="2"/>
  <c r="F38" i="2"/>
  <c r="AK38" i="2"/>
  <c r="AC38" i="2"/>
  <c r="Z36" i="2"/>
  <c r="R36" i="2"/>
  <c r="J36" i="2"/>
  <c r="AK45" i="2"/>
  <c r="AC45" i="2"/>
  <c r="U45" i="2"/>
  <c r="M45" i="2"/>
  <c r="E45" i="2"/>
  <c r="AL40" i="2"/>
  <c r="AD40" i="2"/>
  <c r="V40" i="2"/>
  <c r="N40" i="2"/>
  <c r="F40" i="2"/>
  <c r="F40" i="6"/>
  <c r="F36" i="6"/>
  <c r="C36" i="6"/>
  <c r="F38" i="6"/>
  <c r="C38" i="6"/>
  <c r="C40" i="6"/>
  <c r="F45" i="6"/>
  <c r="E45" i="6"/>
  <c r="D40" i="6"/>
  <c r="D36" i="6"/>
  <c r="E40" i="6"/>
  <c r="C45" i="6"/>
  <c r="D38" i="6"/>
  <c r="D45" i="6"/>
  <c r="E38" i="6"/>
  <c r="AP45" i="2"/>
  <c r="AL45" i="2"/>
  <c r="AH45" i="2"/>
  <c r="AD45" i="2"/>
  <c r="Z45" i="2"/>
  <c r="V45" i="2"/>
  <c r="R45" i="2"/>
  <c r="N45" i="2"/>
  <c r="J45" i="2"/>
  <c r="F45" i="2"/>
  <c r="E36" i="6"/>
  <c r="AT172" i="2"/>
  <c r="AT115" i="9" s="1"/>
  <c r="AV194" i="2"/>
  <c r="AV193" i="2"/>
  <c r="AV192" i="2"/>
  <c r="AV190" i="2"/>
  <c r="AV188" i="2"/>
  <c r="AV187" i="2"/>
  <c r="AV155" i="2"/>
  <c r="AU155" i="2"/>
  <c r="AS155" i="2"/>
  <c r="AV152" i="2"/>
  <c r="AU152" i="2"/>
  <c r="AT152" i="2"/>
  <c r="AS152" i="2"/>
  <c r="AV113" i="2"/>
  <c r="AV189" i="2" s="1"/>
  <c r="AU113" i="2"/>
  <c r="AT113" i="2"/>
  <c r="AS113" i="2"/>
  <c r="AV78" i="2" l="1"/>
  <c r="AV101" i="2"/>
  <c r="AV100" i="2"/>
  <c r="AV98" i="2"/>
  <c r="AV97" i="2"/>
  <c r="AV96" i="2"/>
  <c r="AV95" i="2"/>
  <c r="AV94" i="2"/>
  <c r="AV93" i="2"/>
  <c r="AV92" i="2"/>
  <c r="AV90" i="2"/>
  <c r="AV89" i="2"/>
  <c r="AV88" i="2"/>
  <c r="AV87" i="2"/>
  <c r="AV86" i="2"/>
  <c r="AV85" i="2"/>
  <c r="AV84" i="2"/>
  <c r="AV82" i="2"/>
  <c r="AV81" i="2"/>
  <c r="AV80" i="2"/>
  <c r="AV79" i="2"/>
  <c r="AV44" i="2"/>
  <c r="AV43" i="2"/>
  <c r="AV42" i="2"/>
  <c r="AV41" i="2"/>
  <c r="AV39" i="2"/>
  <c r="AV37" i="2"/>
  <c r="AV35" i="2"/>
  <c r="AV34" i="2"/>
  <c r="AV75" i="1"/>
  <c r="AV38" i="2" l="1"/>
  <c r="AV36" i="2"/>
  <c r="AV40" i="2"/>
  <c r="AV45" i="2"/>
  <c r="AU194" i="2"/>
  <c r="AU193" i="2"/>
  <c r="AU190" i="2"/>
  <c r="AU188" i="2"/>
  <c r="AU187" i="2"/>
  <c r="AU189" i="2"/>
  <c r="AU101" i="2"/>
  <c r="AU100" i="2"/>
  <c r="AU99" i="2"/>
  <c r="AU98" i="2"/>
  <c r="AU97" i="2"/>
  <c r="AU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U83" i="2"/>
  <c r="AU82" i="2"/>
  <c r="AU81" i="2"/>
  <c r="AU80" i="2"/>
  <c r="AU79" i="2"/>
  <c r="AU78" i="2"/>
  <c r="AU44" i="2"/>
  <c r="AU43" i="2"/>
  <c r="AU42" i="2"/>
  <c r="AU41" i="2"/>
  <c r="AU39" i="2"/>
  <c r="AU37" i="2"/>
  <c r="AU35" i="2"/>
  <c r="AU34" i="2"/>
  <c r="AU75" i="1"/>
  <c r="AU38" i="2" l="1"/>
  <c r="AU45" i="2"/>
  <c r="AU40" i="2"/>
  <c r="AU36" i="2"/>
  <c r="AT190" i="2"/>
  <c r="AT194" i="2"/>
  <c r="AT193" i="2"/>
  <c r="AT189" i="2"/>
  <c r="AT188" i="2"/>
  <c r="AT101" i="2" l="1"/>
  <c r="AT100" i="2"/>
  <c r="AT99" i="2"/>
  <c r="AT98" i="2"/>
  <c r="AT97" i="2"/>
  <c r="AT96" i="2"/>
  <c r="AT95" i="2"/>
  <c r="AT94" i="2"/>
  <c r="AT93" i="2"/>
  <c r="AT92" i="2"/>
  <c r="AT91" i="2"/>
  <c r="AT90" i="2"/>
  <c r="AT89" i="2"/>
  <c r="AT88" i="2"/>
  <c r="AT87" i="2"/>
  <c r="AT86" i="2"/>
  <c r="AT85" i="2"/>
  <c r="AT84" i="2"/>
  <c r="AT83" i="2"/>
  <c r="AT82" i="2"/>
  <c r="AT81" i="2"/>
  <c r="AT80" i="2"/>
  <c r="AT79" i="2"/>
  <c r="AT78" i="2"/>
  <c r="AT44" i="2"/>
  <c r="AT43" i="2"/>
  <c r="AT42" i="2"/>
  <c r="AT41" i="2"/>
  <c r="AT39" i="2"/>
  <c r="AT37" i="2"/>
  <c r="AT35" i="2"/>
  <c r="AT34" i="2"/>
  <c r="AT36" i="2" s="1"/>
  <c r="AT38" i="2" l="1"/>
  <c r="AT40" i="2"/>
  <c r="AT45" i="2"/>
  <c r="AT187" i="2"/>
  <c r="AT75" i="1" l="1"/>
  <c r="AS42" i="2" l="1"/>
  <c r="AS194" i="2" l="1"/>
  <c r="AS193" i="2"/>
  <c r="AS190" i="2"/>
  <c r="AS189" i="2"/>
  <c r="AS188" i="2"/>
  <c r="AS187" i="2"/>
  <c r="AS82" i="2"/>
  <c r="AS98" i="2"/>
  <c r="AS90" i="2"/>
  <c r="AS75" i="1" l="1"/>
  <c r="AS101" i="2" l="1"/>
  <c r="AS100" i="2"/>
  <c r="AS99" i="2"/>
  <c r="AS97" i="2"/>
  <c r="AS96" i="2"/>
  <c r="AS95" i="2"/>
  <c r="AS94" i="2"/>
  <c r="AS93" i="2"/>
  <c r="AS92" i="2"/>
  <c r="AS91" i="2"/>
  <c r="AS89" i="2"/>
  <c r="AS88" i="2"/>
  <c r="AS87" i="2"/>
  <c r="AS86" i="2"/>
  <c r="AS85" i="2"/>
  <c r="AS84" i="2"/>
  <c r="AS83" i="2"/>
  <c r="AS81" i="2"/>
  <c r="AS80" i="2"/>
  <c r="AS79" i="2"/>
  <c r="AS78" i="2"/>
  <c r="AS44" i="2"/>
  <c r="AS43" i="2"/>
  <c r="AS41" i="2"/>
  <c r="AS39" i="2"/>
  <c r="AS37" i="2"/>
  <c r="AS35" i="2"/>
  <c r="AS34" i="2"/>
  <c r="AS36" i="2" l="1"/>
  <c r="AS45" i="2"/>
  <c r="AS40" i="2"/>
  <c r="AS38" i="2"/>
  <c r="AR75" i="1" l="1"/>
  <c r="AQ75" i="1" l="1"/>
  <c r="AP75" i="1" l="1"/>
  <c r="AO75" i="1" l="1"/>
  <c r="AN75" i="1" l="1"/>
  <c r="C75" i="1" l="1"/>
  <c r="D75" i="1"/>
  <c r="H75" i="1"/>
  <c r="G75" i="1"/>
  <c r="F75" i="1"/>
  <c r="E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BC7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Serdar Can Cimenser</author>
  </authors>
  <commentList>
    <comment ref="AV55" authorId="0" shapeId="0" xr:uid="{47246AEE-B10C-4AC8-898D-DA5BA69C0974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63" authorId="0" shapeId="0" xr:uid="{12D67C69-4094-4C23-89AE-9947442108A1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71" authorId="0" shapeId="0" xr:uid="{BF49551E-7465-4AC1-8436-CEF26C85223E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83" authorId="0" shapeId="0" xr:uid="{0B5A54F8-563F-4BC6-BF77-D23AAAAF54CE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91" authorId="0" shapeId="0" xr:uid="{CF68BAF0-85E6-4102-9BE0-808CC7D4FFA0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99" authorId="0" shapeId="0" xr:uid="{C040E2D9-2961-40DF-B9AB-C350C1EC4274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23" authorId="0" shapeId="0" xr:uid="{22BEA2F9-6B06-4325-AE52-93D996A94A29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29" authorId="0" shapeId="0" xr:uid="{975B1992-9758-4BD5-85BC-636A705A8A3E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35" authorId="0" shapeId="0" xr:uid="{D97B1057-4AC1-419E-8B74-0AD3955B0EFE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41" authorId="0" shapeId="0" xr:uid="{0B3C9A8F-57F2-49E5-9452-3BCB730CD2B8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65" authorId="0" shapeId="0" xr:uid="{FFF46BA7-7FD0-4361-856C-E3E56E0B62C4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70" authorId="0" shapeId="0" xr:uid="{553E045B-AA19-4871-9072-33734657CC1C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79" authorId="0" shapeId="0" xr:uid="{EAF26A45-ECBF-4434-B1CE-57364EBC01C1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Serdar Can Cimenser</author>
  </authors>
  <commentList>
    <comment ref="AV55" authorId="0" shapeId="0" xr:uid="{CCFE3553-B1DA-4907-B4CA-549DF57359F7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63" authorId="0" shapeId="0" xr:uid="{16C3BD6F-5254-4B70-85D9-DF0A17329C6C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71" authorId="0" shapeId="0" xr:uid="{2180B65B-D24E-48AA-8799-9B3DFEBF9458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83" authorId="0" shapeId="0" xr:uid="{42C34A80-DFCB-45F7-BBFB-9CDBC1C8B68B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91" authorId="0" shapeId="0" xr:uid="{F5DEC0DB-75B3-4EA5-AA0B-6C3F0C8D25EF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99" authorId="0" shapeId="0" xr:uid="{916D77E9-C17D-46ED-B147-B118C21A01E0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08" authorId="0" shapeId="0" xr:uid="{21800181-23B5-4DCA-B6BD-891EE5ED8DE5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13" authorId="0" shapeId="0" xr:uid="{BD215717-2B2A-4260-8C74-48B99B57059B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22" authorId="0" shapeId="0" xr:uid="{49B2B94D-72FD-4C1C-8A9D-FCAA533B7D10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</commentList>
</comments>
</file>

<file path=xl/sharedStrings.xml><?xml version="1.0" encoding="utf-8"?>
<sst xmlns="http://schemas.openxmlformats.org/spreadsheetml/2006/main" count="2598" uniqueCount="245">
  <si>
    <t>Dönem</t>
  </si>
  <si>
    <t>3Ç08</t>
  </si>
  <si>
    <t>4Ç08</t>
  </si>
  <si>
    <t>Türkiye</t>
  </si>
  <si>
    <t>Yurtdışı</t>
  </si>
  <si>
    <t>Ortadoğu</t>
  </si>
  <si>
    <t>Hazar Bölgesi</t>
  </si>
  <si>
    <t>1Ç09</t>
  </si>
  <si>
    <t>2Ç09</t>
  </si>
  <si>
    <t>3Ç09</t>
  </si>
  <si>
    <t>4Ç09</t>
  </si>
  <si>
    <t>1Ç10</t>
  </si>
  <si>
    <t>2Ç10</t>
  </si>
  <si>
    <t>3Ç10</t>
  </si>
  <si>
    <t>4Ç10</t>
  </si>
  <si>
    <t>1Ç11</t>
  </si>
  <si>
    <t>2Ç11</t>
  </si>
  <si>
    <t>3Ç11</t>
  </si>
  <si>
    <t>4Ç11</t>
  </si>
  <si>
    <t>1Ç12</t>
  </si>
  <si>
    <t>2Ç12</t>
  </si>
  <si>
    <t>3Ç12</t>
  </si>
  <si>
    <t>4Ç12</t>
  </si>
  <si>
    <t>1Ç13</t>
  </si>
  <si>
    <t>2Ç13</t>
  </si>
  <si>
    <t>3Ç13</t>
  </si>
  <si>
    <t>4Ç13</t>
  </si>
  <si>
    <t>1Ç14</t>
  </si>
  <si>
    <t>2Ç14</t>
  </si>
  <si>
    <t>3Ç14</t>
  </si>
  <si>
    <t>4Ç14</t>
  </si>
  <si>
    <t>1Ç15</t>
  </si>
  <si>
    <t>2Ç15</t>
  </si>
  <si>
    <t>3Ç15</t>
  </si>
  <si>
    <t>4Ç15</t>
  </si>
  <si>
    <t>1Ç16</t>
  </si>
  <si>
    <t>2Ç16</t>
  </si>
  <si>
    <t>3Ç16</t>
  </si>
  <si>
    <t>4Ç16</t>
  </si>
  <si>
    <t>1Ç17</t>
  </si>
  <si>
    <t>2Ç17</t>
  </si>
  <si>
    <t>3Ç17</t>
  </si>
  <si>
    <t>Kalan İş Miktarı (USDmn)</t>
  </si>
  <si>
    <t>Ulaşım</t>
  </si>
  <si>
    <t>Boru hattı</t>
  </si>
  <si>
    <t>Endüstriyel Tesisler</t>
  </si>
  <si>
    <t>Bina</t>
  </si>
  <si>
    <t>Bayi Satışları</t>
  </si>
  <si>
    <t>Toplu Satışlar</t>
  </si>
  <si>
    <t>Ortalama Yurtiçi Satış Fiyatları (ABD$/ton)</t>
  </si>
  <si>
    <t>CAN</t>
  </si>
  <si>
    <t>CAN*</t>
  </si>
  <si>
    <t>AN33</t>
  </si>
  <si>
    <t>AS</t>
  </si>
  <si>
    <t>Üre</t>
  </si>
  <si>
    <t>DAP</t>
  </si>
  <si>
    <t>Kompoze</t>
  </si>
  <si>
    <t>Kapasite Kullanım Oranı</t>
  </si>
  <si>
    <t>Taahhüt Grubu</t>
  </si>
  <si>
    <t>Gübre Üretimi (1.000 ton)</t>
  </si>
  <si>
    <t>Gübre Tedariği (1.000 ton)</t>
  </si>
  <si>
    <t>Elleçlenen Tonaj (1.000 ton)</t>
  </si>
  <si>
    <t>Ultra Azot</t>
  </si>
  <si>
    <t>Kuzey Afrika</t>
  </si>
  <si>
    <t>İmalat İşleri</t>
  </si>
  <si>
    <t>TL milyon</t>
  </si>
  <si>
    <t>Net Satışlar</t>
  </si>
  <si>
    <t>Brüt Kar</t>
  </si>
  <si>
    <t>Marj</t>
  </si>
  <si>
    <t>Faaliyet Karı</t>
  </si>
  <si>
    <t>FAVÖK</t>
  </si>
  <si>
    <t>Net Finansal Gelirler/Giderler</t>
  </si>
  <si>
    <t xml:space="preserve">Vergi Giderleri </t>
  </si>
  <si>
    <t>Net Kar</t>
  </si>
  <si>
    <t>Tarımsal Sanayi Grubu</t>
  </si>
  <si>
    <t>Gayrimenkul Geliştirme Grubu</t>
  </si>
  <si>
    <t>Diğer</t>
  </si>
  <si>
    <t>Toplam Gelirler</t>
  </si>
  <si>
    <t>Konsolide FAVÖK</t>
  </si>
  <si>
    <t>Konsolide Net Kar</t>
  </si>
  <si>
    <t>Proje Türüne Göre Kalan İş Miktarı Dağılımı</t>
  </si>
  <si>
    <t>9A17</t>
  </si>
  <si>
    <t>6A17</t>
  </si>
  <si>
    <t>3A17</t>
  </si>
  <si>
    <t>3A16</t>
  </si>
  <si>
    <t>6A16</t>
  </si>
  <si>
    <t>9A16</t>
  </si>
  <si>
    <t>3A15</t>
  </si>
  <si>
    <t>6A15</t>
  </si>
  <si>
    <t>9A15</t>
  </si>
  <si>
    <t>3A14</t>
  </si>
  <si>
    <t>6A14</t>
  </si>
  <si>
    <t>9A14</t>
  </si>
  <si>
    <t>3A13</t>
  </si>
  <si>
    <t>6A13</t>
  </si>
  <si>
    <t>9A13</t>
  </si>
  <si>
    <t>3A12</t>
  </si>
  <si>
    <t>6A12</t>
  </si>
  <si>
    <t>9A12</t>
  </si>
  <si>
    <t>9A08</t>
  </si>
  <si>
    <t>3A09</t>
  </si>
  <si>
    <t>6A09</t>
  </si>
  <si>
    <t>9A09</t>
  </si>
  <si>
    <t>3A10</t>
  </si>
  <si>
    <t>6A10</t>
  </si>
  <si>
    <t>9A10</t>
  </si>
  <si>
    <t>3A11</t>
  </si>
  <si>
    <t>6A11</t>
  </si>
  <si>
    <t>9A11</t>
  </si>
  <si>
    <t>Kiralanan kapasite (1.000 m3
)</t>
  </si>
  <si>
    <t>Petrol ürünlerinde doluluk oranı</t>
  </si>
  <si>
    <t>Konsolide Özet Bilanço</t>
  </si>
  <si>
    <t>Nakit ve Benzerleri</t>
  </si>
  <si>
    <t>Ticari Alacaklar</t>
  </si>
  <si>
    <t>Stoklar</t>
  </si>
  <si>
    <t>Maddi Duran Varlıklar</t>
  </si>
  <si>
    <t>Maddi Olmayan Duran Varlıklar</t>
  </si>
  <si>
    <t>Toplam Varlıklar</t>
  </si>
  <si>
    <t>Ticari Borçlar</t>
  </si>
  <si>
    <t>Kısa Vadeli Finansal Borçlanmalar</t>
  </si>
  <si>
    <t>Uzun Vadeli Finansal Borçlanmalar</t>
  </si>
  <si>
    <t>Özsermaye</t>
  </si>
  <si>
    <t>Toplam Yükümlülükler ve Özsermaye</t>
  </si>
  <si>
    <t>Konsolide Özet Nakit Akım Tablosu</t>
  </si>
  <si>
    <t xml:space="preserve"> Dönem Karı</t>
  </si>
  <si>
    <t xml:space="preserve"> Dönem Net Karı Mutabakatı ile İlgili Düzeltmeler</t>
  </si>
  <si>
    <t xml:space="preserve"> İşletme Sermayesinde Gerçekleşen Değişimler</t>
  </si>
  <si>
    <t>Yatırım Faaliyetlerinden Kaynaklanan Nakit Akışı</t>
  </si>
  <si>
    <t>İşletme Faaliyetlerinden Kaynaklanan Nakit Akışı</t>
  </si>
  <si>
    <t>Yatırım Harcamaları</t>
  </si>
  <si>
    <t>Diğer Yatırım Faaliyetleri</t>
  </si>
  <si>
    <t>Finansman Faaliyetlerinden Nakit Akışı</t>
  </si>
  <si>
    <t>Nakit ve Benzerlerindeki Net Artış</t>
  </si>
  <si>
    <t>Tank İşleri</t>
  </si>
  <si>
    <t>Enerji Santralleri</t>
  </si>
  <si>
    <t>İnşaat İşleri</t>
  </si>
  <si>
    <t>Bulgaristan</t>
  </si>
  <si>
    <t>Ödenen Temettüler</t>
  </si>
  <si>
    <t>Rasyolar</t>
  </si>
  <si>
    <t>Net Borç/FAVÖK</t>
  </si>
  <si>
    <t>Net Borç/Özsermaye</t>
  </si>
  <si>
    <t xml:space="preserve">Borç/Özsermaye </t>
  </si>
  <si>
    <t xml:space="preserve">Finansal Kaldıraç </t>
  </si>
  <si>
    <t>Cari Oran</t>
  </si>
  <si>
    <t>Nakit Oranı</t>
  </si>
  <si>
    <t>Özsermaye Karlılığı</t>
  </si>
  <si>
    <t>Aktif Karlılığı</t>
  </si>
  <si>
    <t>Borçlanmadan Kaynaklanan Nakit Girişleri/Çıkışları</t>
  </si>
  <si>
    <t>Net Borç</t>
  </si>
  <si>
    <t>Konsolide Özet Gelir Tablosu (Kümülatif)</t>
  </si>
  <si>
    <t>Konsolide Özet Gelir Tablosu (Çeyreklik)</t>
  </si>
  <si>
    <t>Konsolide Gelir, FAVÖK ve Net Kar Dağılımı (Kümülatif)</t>
  </si>
  <si>
    <t>Konsolide Gelir, FAVÖK ve Net Kar Dağılımı (Çeyreklik)</t>
  </si>
  <si>
    <t>-</t>
  </si>
  <si>
    <t>Bölümler bazında varlıklar ve kaynaklar:</t>
  </si>
  <si>
    <t>Toplam varlıklar</t>
  </si>
  <si>
    <t>Kısa ve uzun vadeli yükümlülükler</t>
  </si>
  <si>
    <t>Ana ortaklığa ait özkaynaklar</t>
  </si>
  <si>
    <t>Kontrol gücü olmayan paylar</t>
  </si>
  <si>
    <t>Eliminasyonlar</t>
  </si>
  <si>
    <t>Maddi, maddi olmayan duran varlıklar ile ilgili bölümler bazında bilgi</t>
  </si>
  <si>
    <t>Yatırım harcamaları</t>
  </si>
  <si>
    <t>Dönem içi amortisman gideri ve itfa payı</t>
  </si>
  <si>
    <t>İçindekiler</t>
  </si>
  <si>
    <t>Yukarı</t>
  </si>
  <si>
    <t>Net Nakit Durumu</t>
  </si>
  <si>
    <t>Net Nakit/Borç</t>
  </si>
  <si>
    <t>Çeyreklik Operasyonel Veriler</t>
  </si>
  <si>
    <t>Kümülatif Operasyonel Veriler</t>
  </si>
  <si>
    <t>Terminal</t>
  </si>
  <si>
    <t>4Ç17</t>
  </si>
  <si>
    <t>3A18</t>
  </si>
  <si>
    <t>1Ç18</t>
  </si>
  <si>
    <t>2Ç18</t>
  </si>
  <si>
    <t>6A18</t>
  </si>
  <si>
    <t>3Ç18</t>
  </si>
  <si>
    <t>9A18</t>
  </si>
  <si>
    <t>İhracat</t>
  </si>
  <si>
    <t>Gübre Satışlar (1.000 ton)</t>
  </si>
  <si>
    <t>Yurtiçi Satışlar</t>
  </si>
  <si>
    <t>Yurtiçi Satışlar Ürün Dağılımı</t>
  </si>
  <si>
    <t>n.a.</t>
  </si>
  <si>
    <t>4Ç18</t>
  </si>
  <si>
    <t>Tekfen Tarım</t>
  </si>
  <si>
    <t>Toros Tarım</t>
  </si>
  <si>
    <t>VÖK</t>
  </si>
  <si>
    <t>1Ç19</t>
  </si>
  <si>
    <t>3A19</t>
  </si>
  <si>
    <t>2Ç19</t>
  </si>
  <si>
    <t>6A19</t>
  </si>
  <si>
    <t>Organomineral</t>
  </si>
  <si>
    <t>3Ç19</t>
  </si>
  <si>
    <t>9A19</t>
  </si>
  <si>
    <t>4Ç19</t>
  </si>
  <si>
    <t>3A20</t>
  </si>
  <si>
    <t>1Ç20</t>
  </si>
  <si>
    <t>Mühendislik ve Taahhüt</t>
  </si>
  <si>
    <t>Kimya Sanayi</t>
  </si>
  <si>
    <t>Tarımsal Üretim</t>
  </si>
  <si>
    <t>Hizmet</t>
  </si>
  <si>
    <t>Yatırım</t>
  </si>
  <si>
    <t>Aktif Devir Hızı Oranı</t>
  </si>
  <si>
    <t>Mühenislik ve Taahhüt</t>
  </si>
  <si>
    <t>®</t>
  </si>
  <si>
    <t>Özel Gübreler</t>
  </si>
  <si>
    <t>2Ç20</t>
  </si>
  <si>
    <t>6A20</t>
  </si>
  <si>
    <t>9A20</t>
  </si>
  <si>
    <t>3Ç20</t>
  </si>
  <si>
    <t>Azotlu Gübre</t>
  </si>
  <si>
    <t>Fosfatlı Gübre</t>
  </si>
  <si>
    <t>Diğer Gübre</t>
  </si>
  <si>
    <t>4Ç20</t>
  </si>
  <si>
    <t>USD/TRY Ortalama:</t>
  </si>
  <si>
    <t>USD/TRY Kapanış:</t>
  </si>
  <si>
    <t>Konsolide FAVÖK ve Net Kar Marjları Dağılımı (Çeyreklik)</t>
  </si>
  <si>
    <t>Konsolide FAVÖK Marjı</t>
  </si>
  <si>
    <t>Konsolide Net Kar Marjı</t>
  </si>
  <si>
    <t>Konsolide FAVÖK ve Net Kar Marjları Dağılımı (Kümülatif)</t>
  </si>
  <si>
    <t>1Ç21</t>
  </si>
  <si>
    <t>3A21</t>
  </si>
  <si>
    <t>6A21</t>
  </si>
  <si>
    <t>2Ç21</t>
  </si>
  <si>
    <t>9A21</t>
  </si>
  <si>
    <t>3Ç21</t>
  </si>
  <si>
    <t>1Ç22</t>
  </si>
  <si>
    <t>4Ç21</t>
  </si>
  <si>
    <t>2Ç22</t>
  </si>
  <si>
    <t>3Ç22</t>
  </si>
  <si>
    <t>Rusya</t>
  </si>
  <si>
    <t>Deniz Yapıları</t>
  </si>
  <si>
    <t>Proje Yönetimi</t>
  </si>
  <si>
    <t>Üretim İşleri</t>
  </si>
  <si>
    <t>3A22</t>
  </si>
  <si>
    <t>6A22</t>
  </si>
  <si>
    <t>9A22</t>
  </si>
  <si>
    <t>4Ç22</t>
  </si>
  <si>
    <t>1Ç23</t>
  </si>
  <si>
    <t>3A23</t>
  </si>
  <si>
    <t>6A23</t>
  </si>
  <si>
    <t>2Ç23</t>
  </si>
  <si>
    <t>Tarımsal Sanayi</t>
  </si>
  <si>
    <t>Tarımsal Sanayi / Gübre</t>
  </si>
  <si>
    <t>Tarımsal Sanayi / Terminal</t>
  </si>
  <si>
    <t>USD milyon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</si>
</sst>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%"/>
    <numFmt numFmtId="165" formatCode="0.0"/>
    <numFmt numFmtId="166" formatCode="0.000"/>
    <numFmt numFmtId="167" formatCode="0.0000"/>
    <numFmt numFmtId="169" formatCode="#,##0.0"/>
  </numFmts>
  <fonts count="2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i/>
      <sz val="10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u/>
      <sz val="11"/>
      <color rgb="FF00206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rgb="FF002060"/>
      <name val="Arial"/>
      <family val="2"/>
      <charset val="16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  <charset val="162"/>
    </font>
    <font>
      <b/>
      <sz val="10"/>
      <color theme="1"/>
      <name val="Arial"/>
      <family val="2"/>
    </font>
    <font>
      <i/>
      <sz val="10"/>
      <name val="Arial"/>
      <family val="2"/>
      <charset val="162"/>
    </font>
    <font>
      <sz val="9"/>
      <color indexed="81"/>
      <name val="Tahoma"/>
      <family val="2"/>
    </font>
    <font>
      <b/>
      <sz val="16"/>
      <color rgb="FF002060"/>
      <name val="Arial"/>
      <family val="2"/>
      <charset val="162"/>
    </font>
    <font>
      <sz val="10"/>
      <color theme="1"/>
      <name val="Symbol"/>
      <family val="1"/>
      <charset val="2"/>
    </font>
    <font>
      <b/>
      <sz val="10"/>
      <name val="Arial"/>
      <family val="2"/>
    </font>
    <font>
      <sz val="10"/>
      <color rgb="FFFF0000"/>
      <name val="Arial"/>
      <family val="2"/>
      <charset val="162"/>
    </font>
    <font>
      <sz val="8"/>
      <name val="Calibri"/>
      <family val="2"/>
      <charset val="162"/>
      <scheme val="minor"/>
    </font>
    <font>
      <b/>
      <i/>
      <sz val="10"/>
      <color theme="1"/>
      <name val="Arial"/>
      <family val="2"/>
      <charset val="162"/>
    </font>
    <font>
      <b/>
      <i/>
      <sz val="9"/>
      <color theme="1"/>
      <name val="Arial"/>
      <family val="2"/>
      <charset val="162"/>
    </font>
    <font>
      <b/>
      <sz val="14"/>
      <color rgb="FF002060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147">
    <xf numFmtId="0" fontId="0" fillId="0" borderId="0" xfId="0"/>
    <xf numFmtId="0" fontId="2" fillId="2" borderId="0" xfId="0" applyFont="1" applyFill="1"/>
    <xf numFmtId="0" fontId="3" fillId="2" borderId="0" xfId="0" applyFont="1" applyFill="1"/>
    <xf numFmtId="3" fontId="2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2" borderId="2" xfId="0" applyFont="1" applyFill="1" applyBorder="1"/>
    <xf numFmtId="3" fontId="3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wrapText="1"/>
    </xf>
    <xf numFmtId="0" fontId="2" fillId="2" borderId="3" xfId="0" applyFont="1" applyFill="1" applyBorder="1"/>
    <xf numFmtId="3" fontId="2" fillId="2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 indent="1"/>
    </xf>
    <xf numFmtId="0" fontId="5" fillId="2" borderId="0" xfId="0" applyFont="1" applyFill="1" applyAlignment="1">
      <alignment horizontal="left" indent="2"/>
    </xf>
    <xf numFmtId="3" fontId="4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left" indent="2"/>
    </xf>
    <xf numFmtId="3" fontId="4" fillId="2" borderId="1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5" fillId="2" borderId="1" xfId="0" applyFont="1" applyFill="1" applyBorder="1" applyAlignment="1">
      <alignment horizontal="left" indent="1"/>
    </xf>
    <xf numFmtId="3" fontId="2" fillId="2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indent="1"/>
    </xf>
    <xf numFmtId="9" fontId="3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3" xfId="0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indent="1"/>
    </xf>
    <xf numFmtId="0" fontId="3" fillId="3" borderId="2" xfId="0" applyFont="1" applyFill="1" applyBorder="1"/>
    <xf numFmtId="3" fontId="3" fillId="3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3" fillId="3" borderId="3" xfId="0" applyFont="1" applyFill="1" applyBorder="1"/>
    <xf numFmtId="3" fontId="3" fillId="3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indent="1"/>
    </xf>
    <xf numFmtId="164" fontId="2" fillId="3" borderId="1" xfId="1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2" fillId="2" borderId="1" xfId="0" applyFont="1" applyFill="1" applyBorder="1"/>
    <xf numFmtId="0" fontId="4" fillId="2" borderId="0" xfId="0" applyFont="1" applyFill="1" applyAlignment="1">
      <alignment horizontal="left" indent="2"/>
    </xf>
    <xf numFmtId="3" fontId="4" fillId="2" borderId="0" xfId="0" applyNumberFormat="1" applyFont="1" applyFill="1" applyAlignment="1">
      <alignment horizontal="center" wrapText="1"/>
    </xf>
    <xf numFmtId="3" fontId="3" fillId="3" borderId="2" xfId="0" applyNumberFormat="1" applyFont="1" applyFill="1" applyBorder="1" applyAlignment="1">
      <alignment horizontal="center" wrapText="1"/>
    </xf>
    <xf numFmtId="0" fontId="11" fillId="2" borderId="0" xfId="2" applyFont="1" applyFill="1"/>
    <xf numFmtId="0" fontId="12" fillId="2" borderId="0" xfId="0" applyFont="1" applyFill="1"/>
    <xf numFmtId="0" fontId="13" fillId="2" borderId="2" xfId="0" applyFont="1" applyFill="1" applyBorder="1" applyAlignment="1">
      <alignment horizontal="center"/>
    </xf>
    <xf numFmtId="9" fontId="6" fillId="2" borderId="2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0" fillId="2" borderId="0" xfId="0" applyNumberFormat="1" applyFont="1" applyFill="1" applyAlignment="1">
      <alignment horizontal="center"/>
    </xf>
    <xf numFmtId="165" fontId="14" fillId="2" borderId="0" xfId="0" applyNumberFormat="1" applyFont="1" applyFill="1" applyAlignment="1">
      <alignment horizontal="center"/>
    </xf>
    <xf numFmtId="164" fontId="14" fillId="2" borderId="0" xfId="1" applyNumberFormat="1" applyFont="1" applyFill="1" applyBorder="1" applyAlignment="1">
      <alignment horizontal="center"/>
    </xf>
    <xf numFmtId="164" fontId="14" fillId="2" borderId="1" xfId="1" applyNumberFormat="1" applyFont="1" applyFill="1" applyBorder="1" applyAlignment="1">
      <alignment horizontal="center"/>
    </xf>
    <xf numFmtId="0" fontId="15" fillId="2" borderId="0" xfId="0" applyFont="1" applyFill="1"/>
    <xf numFmtId="3" fontId="15" fillId="2" borderId="0" xfId="0" applyNumberFormat="1" applyFont="1" applyFill="1" applyAlignment="1">
      <alignment horizontal="center"/>
    </xf>
    <xf numFmtId="1" fontId="15" fillId="2" borderId="0" xfId="0" applyNumberFormat="1" applyFont="1" applyFill="1" applyAlignment="1">
      <alignment horizontal="center"/>
    </xf>
    <xf numFmtId="164" fontId="2" fillId="2" borderId="0" xfId="1" applyNumberFormat="1" applyFont="1" applyFill="1"/>
    <xf numFmtId="3" fontId="6" fillId="3" borderId="3" xfId="0" applyNumberFormat="1" applyFont="1" applyFill="1" applyBorder="1" applyAlignment="1">
      <alignment horizontal="center"/>
    </xf>
    <xf numFmtId="164" fontId="2" fillId="2" borderId="0" xfId="1" applyNumberFormat="1" applyFont="1" applyFill="1" applyAlignment="1">
      <alignment horizontal="center"/>
    </xf>
    <xf numFmtId="3" fontId="16" fillId="2" borderId="0" xfId="0" applyNumberFormat="1" applyFont="1" applyFill="1" applyAlignment="1">
      <alignment horizontal="center"/>
    </xf>
    <xf numFmtId="3" fontId="4" fillId="6" borderId="0" xfId="0" applyNumberFormat="1" applyFont="1" applyFill="1" applyAlignment="1">
      <alignment horizontal="center"/>
    </xf>
    <xf numFmtId="164" fontId="14" fillId="2" borderId="0" xfId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indent="2"/>
    </xf>
    <xf numFmtId="0" fontId="19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 indent="1"/>
    </xf>
    <xf numFmtId="0" fontId="13" fillId="2" borderId="1" xfId="0" applyFont="1" applyFill="1" applyBorder="1" applyAlignment="1">
      <alignment horizontal="left" indent="1"/>
    </xf>
    <xf numFmtId="3" fontId="20" fillId="2" borderId="1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3" fontId="20" fillId="2" borderId="0" xfId="0" applyNumberFormat="1" applyFont="1" applyFill="1" applyAlignment="1">
      <alignment horizontal="center"/>
    </xf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5" fillId="7" borderId="3" xfId="0" applyFont="1" applyFill="1" applyBorder="1" applyAlignment="1">
      <alignment vertical="center"/>
    </xf>
    <xf numFmtId="166" fontId="2" fillId="7" borderId="3" xfId="0" applyNumberFormat="1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vertical="center"/>
    </xf>
    <xf numFmtId="166" fontId="2" fillId="7" borderId="4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0" fontId="18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9" fillId="2" borderId="0" xfId="2" applyFill="1"/>
    <xf numFmtId="167" fontId="2" fillId="7" borderId="3" xfId="0" applyNumberFormat="1" applyFont="1" applyFill="1" applyBorder="1" applyAlignment="1">
      <alignment horizontal="center" vertical="center"/>
    </xf>
    <xf numFmtId="167" fontId="2" fillId="7" borderId="4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21" fillId="2" borderId="0" xfId="0" applyFont="1" applyFill="1"/>
    <xf numFmtId="169" fontId="3" fillId="3" borderId="2" xfId="0" applyNumberFormat="1" applyFont="1" applyFill="1" applyBorder="1" applyAlignment="1">
      <alignment horizontal="center"/>
    </xf>
    <xf numFmtId="169" fontId="2" fillId="2" borderId="3" xfId="0" applyNumberFormat="1" applyFont="1" applyFill="1" applyBorder="1" applyAlignment="1">
      <alignment horizontal="center" vertical="center"/>
    </xf>
    <xf numFmtId="169" fontId="2" fillId="2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2" fillId="2" borderId="0" xfId="0" applyNumberFormat="1" applyFont="1" applyFill="1"/>
    <xf numFmtId="164" fontId="2" fillId="2" borderId="0" xfId="0" applyNumberFormat="1" applyFont="1" applyFill="1"/>
    <xf numFmtId="169" fontId="15" fillId="2" borderId="0" xfId="0" applyNumberFormat="1" applyFont="1" applyFill="1" applyAlignment="1">
      <alignment horizontal="center"/>
    </xf>
    <xf numFmtId="169" fontId="12" fillId="2" borderId="0" xfId="0" applyNumberFormat="1" applyFont="1" applyFill="1" applyAlignment="1">
      <alignment horizontal="center"/>
    </xf>
    <xf numFmtId="169" fontId="3" fillId="3" borderId="3" xfId="0" applyNumberFormat="1" applyFont="1" applyFill="1" applyBorder="1" applyAlignment="1">
      <alignment horizontal="center"/>
    </xf>
    <xf numFmtId="169" fontId="3" fillId="2" borderId="0" xfId="0" applyNumberFormat="1" applyFont="1" applyFill="1" applyAlignment="1">
      <alignment horizontal="center"/>
    </xf>
    <xf numFmtId="165" fontId="15" fillId="2" borderId="0" xfId="0" applyNumberFormat="1" applyFont="1" applyFill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9" fontId="2" fillId="2" borderId="0" xfId="0" applyNumberFormat="1" applyFont="1" applyFill="1"/>
    <xf numFmtId="0" fontId="23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0" fontId="24" fillId="2" borderId="3" xfId="0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center"/>
    </xf>
    <xf numFmtId="0" fontId="24" fillId="2" borderId="0" xfId="0" applyFont="1" applyFill="1" applyAlignment="1">
      <alignment horizontal="left" indent="1"/>
    </xf>
    <xf numFmtId="169" fontId="2" fillId="8" borderId="3" xfId="0" applyNumberFormat="1" applyFont="1" applyFill="1" applyBorder="1" applyAlignment="1">
      <alignment horizontal="center" vertical="center"/>
    </xf>
    <xf numFmtId="169" fontId="3" fillId="8" borderId="0" xfId="0" applyNumberFormat="1" applyFont="1" applyFill="1" applyAlignment="1">
      <alignment horizontal="center"/>
    </xf>
    <xf numFmtId="164" fontId="2" fillId="8" borderId="0" xfId="1" applyNumberFormat="1" applyFont="1" applyFill="1" applyBorder="1" applyAlignment="1">
      <alignment horizontal="center"/>
    </xf>
    <xf numFmtId="165" fontId="3" fillId="8" borderId="0" xfId="0" applyNumberFormat="1" applyFont="1" applyFill="1" applyAlignment="1">
      <alignment horizontal="center"/>
    </xf>
    <xf numFmtId="165" fontId="2" fillId="8" borderId="0" xfId="0" applyNumberFormat="1" applyFont="1" applyFill="1" applyAlignment="1">
      <alignment horizontal="center"/>
    </xf>
    <xf numFmtId="165" fontId="15" fillId="8" borderId="0" xfId="0" applyNumberFormat="1" applyFont="1" applyFill="1" applyAlignment="1">
      <alignment horizontal="center"/>
    </xf>
    <xf numFmtId="169" fontId="2" fillId="8" borderId="0" xfId="0" applyNumberFormat="1" applyFont="1" applyFill="1" applyAlignment="1">
      <alignment horizontal="center"/>
    </xf>
    <xf numFmtId="169" fontId="4" fillId="8" borderId="0" xfId="0" applyNumberFormat="1" applyFont="1" applyFill="1" applyAlignment="1">
      <alignment horizontal="center"/>
    </xf>
    <xf numFmtId="3" fontId="2" fillId="8" borderId="3" xfId="0" applyNumberFormat="1" applyFont="1" applyFill="1" applyBorder="1" applyAlignment="1">
      <alignment horizontal="center" vertical="center"/>
    </xf>
    <xf numFmtId="3" fontId="3" fillId="8" borderId="0" xfId="0" applyNumberFormat="1" applyFont="1" applyFill="1" applyAlignment="1">
      <alignment horizontal="center"/>
    </xf>
    <xf numFmtId="3" fontId="2" fillId="8" borderId="0" xfId="1" applyNumberFormat="1" applyFont="1" applyFill="1" applyBorder="1" applyAlignment="1">
      <alignment horizontal="center"/>
    </xf>
    <xf numFmtId="3" fontId="2" fillId="8" borderId="0" xfId="0" applyNumberFormat="1" applyFont="1" applyFill="1" applyAlignment="1">
      <alignment horizontal="center"/>
    </xf>
    <xf numFmtId="3" fontId="15" fillId="8" borderId="0" xfId="0" applyNumberFormat="1" applyFont="1" applyFill="1" applyAlignment="1">
      <alignment horizontal="center"/>
    </xf>
    <xf numFmtId="3" fontId="4" fillId="8" borderId="0" xfId="0" applyNumberFormat="1" applyFont="1" applyFill="1" applyAlignment="1">
      <alignment horizontal="center"/>
    </xf>
    <xf numFmtId="1" fontId="3" fillId="8" borderId="0" xfId="0" applyNumberFormat="1" applyFont="1" applyFill="1" applyAlignment="1">
      <alignment horizontal="center"/>
    </xf>
    <xf numFmtId="1" fontId="2" fillId="8" borderId="0" xfId="0" applyNumberFormat="1" applyFont="1" applyFill="1" applyAlignment="1">
      <alignment horizontal="center"/>
    </xf>
    <xf numFmtId="1" fontId="15" fillId="8" borderId="0" xfId="0" applyNumberFormat="1" applyFont="1" applyFill="1" applyAlignment="1">
      <alignment horizontal="center"/>
    </xf>
    <xf numFmtId="0" fontId="25" fillId="2" borderId="0" xfId="0" applyFont="1" applyFill="1" applyAlignment="1">
      <alignment vertical="center" wrapText="1"/>
    </xf>
    <xf numFmtId="0" fontId="8" fillId="2" borderId="0" xfId="0" applyFont="1" applyFill="1" applyAlignment="1">
      <alignment wrapText="1"/>
    </xf>
    <xf numFmtId="3" fontId="6" fillId="3" borderId="2" xfId="0" applyNumberFormat="1" applyFont="1" applyFill="1" applyBorder="1" applyAlignment="1">
      <alignment horizontal="center" wrapText="1"/>
    </xf>
    <xf numFmtId="3" fontId="2" fillId="8" borderId="1" xfId="0" applyNumberFormat="1" applyFont="1" applyFill="1" applyBorder="1" applyAlignment="1">
      <alignment horizontal="center"/>
    </xf>
    <xf numFmtId="3" fontId="2" fillId="8" borderId="3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left" indent="1"/>
    </xf>
  </cellXfs>
  <cellStyles count="7">
    <cellStyle name="Hyperlink" xfId="2" builtinId="8"/>
    <cellStyle name="Normal" xfId="0" builtinId="0"/>
    <cellStyle name="Normal 2" xfId="3" xr:uid="{E76BB8D7-1ABB-4B88-8E85-0602C299EF7A}"/>
    <cellStyle name="Normal 2 10" xfId="5" xr:uid="{470C1B5A-D40B-4ADC-9552-60C757F528F2}"/>
    <cellStyle name="Normal 2 2" xfId="6" xr:uid="{A7011784-88C4-414D-9E17-C125240983D0}"/>
    <cellStyle name="Percent" xfId="1" builtinId="5"/>
    <cellStyle name="Percent 2" xfId="4" xr:uid="{61A9BC19-2279-46A4-9964-43D040CDD57D}"/>
  </cellStyles>
  <dxfs count="0"/>
  <tableStyles count="1" defaultTableStyle="TableStyleMedium2" defaultPivotStyle="PivotStyleLight16">
    <tableStyle name="Invisible" pivot="0" table="0" count="0" xr9:uid="{941B386A-C200-419D-BB8B-9AB04F21519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caglar.gulveren@tekfen.com.tr;sezer.ercan@tekfen.com.tr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339723</xdr:colOff>
      <xdr:row>0</xdr:row>
      <xdr:rowOff>67238</xdr:rowOff>
    </xdr:from>
    <xdr:to>
      <xdr:col>6</xdr:col>
      <xdr:colOff>387348</xdr:colOff>
      <xdr:row>18</xdr:row>
      <xdr:rowOff>44825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252" y="67238"/>
          <a:ext cx="3185272" cy="3043516"/>
        </a:xfrm>
        <a:prstGeom prst="rect">
          <a:avLst/>
        </a:prstGeom>
      </xdr:spPr>
    </xdr:pic>
    <xdr:clientData/>
  </xdr:twoCellAnchor>
  <xdr:twoCellAnchor>
    <xdr:from>
      <xdr:col>1</xdr:col>
      <xdr:colOff>302933</xdr:colOff>
      <xdr:row>16</xdr:row>
      <xdr:rowOff>57335</xdr:rowOff>
    </xdr:from>
    <xdr:to>
      <xdr:col>6</xdr:col>
      <xdr:colOff>436283</xdr:colOff>
      <xdr:row>21</xdr:row>
      <xdr:rowOff>91887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30462" y="2782606"/>
          <a:ext cx="3270997" cy="8861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800" b="1">
              <a:latin typeface="Aharoni" panose="02010803020104030203" pitchFamily="2" charset="-79"/>
              <a:cs typeface="Aharoni" panose="02010803020104030203" pitchFamily="2" charset="-79"/>
            </a:rPr>
            <a:t>Özet Finansal ve Operasyonel Veriler</a:t>
          </a:r>
        </a:p>
      </xdr:txBody>
    </xdr:sp>
    <xdr:clientData/>
  </xdr:twoCellAnchor>
  <xdr:twoCellAnchor>
    <xdr:from>
      <xdr:col>1</xdr:col>
      <xdr:colOff>328332</xdr:colOff>
      <xdr:row>22</xdr:row>
      <xdr:rowOff>73770</xdr:rowOff>
    </xdr:from>
    <xdr:to>
      <xdr:col>6</xdr:col>
      <xdr:colOff>461682</xdr:colOff>
      <xdr:row>28</xdr:row>
      <xdr:rowOff>116352</xdr:rowOff>
    </xdr:to>
    <xdr:sp macro="" textlink="">
      <xdr:nvSpPr>
        <xdr:cNvPr id="4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55861" y="3821017"/>
          <a:ext cx="3270997" cy="1064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spcBef>
              <a:spcPts val="600"/>
            </a:spcBef>
          </a:pPr>
          <a:r>
            <a:rPr lang="tr-TR" sz="1400" b="1" u="sng">
              <a:latin typeface="Arial" panose="020B0604020202020204" pitchFamily="34" charset="0"/>
              <a:cs typeface="Arial" panose="020B0604020202020204" pitchFamily="34" charset="0"/>
            </a:rPr>
            <a:t>Tekfen</a:t>
          </a:r>
          <a:r>
            <a:rPr lang="tr-TR" sz="1400" b="1" u="sng" baseline="0">
              <a:latin typeface="Arial" panose="020B0604020202020204" pitchFamily="34" charset="0"/>
              <a:cs typeface="Arial" panose="020B0604020202020204" pitchFamily="34" charset="0"/>
            </a:rPr>
            <a:t> Holding Yatırımcı İlişkileri</a:t>
          </a:r>
        </a:p>
        <a:p>
          <a:pPr algn="ctr">
            <a:spcBef>
              <a:spcPts val="600"/>
            </a:spcBef>
          </a:pPr>
          <a:r>
            <a:rPr lang="tr-TR" sz="1200" b="1" baseline="0">
              <a:latin typeface="Arial" panose="020B0604020202020204" pitchFamily="34" charset="0"/>
              <a:cs typeface="Arial" panose="020B0604020202020204" pitchFamily="34" charset="0"/>
            </a:rPr>
            <a:t>Çağlar Gülveren</a:t>
          </a:r>
        </a:p>
        <a:p>
          <a:pPr algn="ctr">
            <a:spcBef>
              <a:spcPts val="600"/>
            </a:spcBef>
          </a:pP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Sezer Ercan</a:t>
          </a:r>
          <a:endParaRPr lang="tr-TR" sz="12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0</xdr:rowOff>
    </xdr:from>
    <xdr:to>
      <xdr:col>1</xdr:col>
      <xdr:colOff>3019425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92467F0-B757-456E-8B4F-F14C3EE6DCED}"/>
            </a:ext>
          </a:extLst>
        </xdr:cNvPr>
        <xdr:cNvCxnSpPr/>
      </xdr:nvCxnSpPr>
      <xdr:spPr>
        <a:xfrm flipV="1">
          <a:off x="485775" y="438150"/>
          <a:ext cx="2981325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1</xdr:col>
      <xdr:colOff>4384575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7E4754A-D9BD-4807-B715-4FDD895F51FC}"/>
            </a:ext>
          </a:extLst>
        </xdr:cNvPr>
        <xdr:cNvCxnSpPr/>
      </xdr:nvCxnSpPr>
      <xdr:spPr>
        <a:xfrm flipV="1">
          <a:off x="609600" y="476250"/>
          <a:ext cx="43560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1</xdr:col>
      <xdr:colOff>4384575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372036A-CF74-4594-BE08-EDFB7926046C}"/>
            </a:ext>
          </a:extLst>
        </xdr:cNvPr>
        <xdr:cNvCxnSpPr/>
      </xdr:nvCxnSpPr>
      <xdr:spPr>
        <a:xfrm flipV="1">
          <a:off x="609600" y="476250"/>
          <a:ext cx="43560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1</xdr:col>
      <xdr:colOff>4384575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F133FF8-1574-499F-87DE-51E2D1424487}"/>
            </a:ext>
          </a:extLst>
        </xdr:cNvPr>
        <xdr:cNvCxnSpPr/>
      </xdr:nvCxnSpPr>
      <xdr:spPr>
        <a:xfrm flipV="1">
          <a:off x="485775" y="400050"/>
          <a:ext cx="43560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1</xdr:col>
      <xdr:colOff>4384575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EE9C581-A3C5-4015-A49A-5242846828D7}"/>
            </a:ext>
          </a:extLst>
        </xdr:cNvPr>
        <xdr:cNvCxnSpPr/>
      </xdr:nvCxnSpPr>
      <xdr:spPr>
        <a:xfrm flipV="1">
          <a:off x="476250" y="428625"/>
          <a:ext cx="4346475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0</xdr:rowOff>
    </xdr:from>
    <xdr:to>
      <xdr:col>1</xdr:col>
      <xdr:colOff>4394100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D5A8D75-2E15-4EEC-9729-6DA0428D3EAB}"/>
            </a:ext>
          </a:extLst>
        </xdr:cNvPr>
        <xdr:cNvCxnSpPr/>
      </xdr:nvCxnSpPr>
      <xdr:spPr>
        <a:xfrm flipV="1">
          <a:off x="495300" y="438150"/>
          <a:ext cx="43560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0</xdr:rowOff>
    </xdr:from>
    <xdr:to>
      <xdr:col>1</xdr:col>
      <xdr:colOff>4394100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29AD2BD-A7B3-4B0F-81C9-074913D1E158}"/>
            </a:ext>
          </a:extLst>
        </xdr:cNvPr>
        <xdr:cNvCxnSpPr/>
      </xdr:nvCxnSpPr>
      <xdr:spPr>
        <a:xfrm flipV="1">
          <a:off x="485775" y="466725"/>
          <a:ext cx="433695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tabSelected="1" view="pageBreakPreview" zoomScale="85" zoomScaleNormal="100" zoomScaleSheetLayoutView="85" workbookViewId="0"/>
  </sheetViews>
  <sheetFormatPr defaultColWidth="9.140625" defaultRowHeight="12.75" x14ac:dyDescent="0.2"/>
  <cols>
    <col min="1" max="16384" width="9.140625" style="1"/>
  </cols>
  <sheetData/>
  <pageMargins left="0.7" right="0.7" top="0.75" bottom="0.75" header="0.3" footer="0.3"/>
  <pageSetup paperSize="8" orientation="portrait" horizontalDpi="4294967295" verticalDpi="4294967295" r:id="rId1"/>
  <customProperties>
    <customPr name="WORKBKFUNCTIONCACH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249977111117893"/>
    <pageSetUpPr fitToPage="1"/>
  </sheetPr>
  <dimension ref="A1:BK138"/>
  <sheetViews>
    <sheetView zoomScale="80" zoomScaleNormal="80" workbookViewId="0">
      <pane xSplit="2" ySplit="7" topLeftCell="AG8" activePane="bottomRight" state="frozen"/>
      <selection pane="topRight" activeCell="C1" sqref="C1"/>
      <selection pane="bottomLeft" activeCell="A8" sqref="A8"/>
      <selection pane="bottomRight"/>
    </sheetView>
  </sheetViews>
  <sheetFormatPr defaultColWidth="9.140625" defaultRowHeight="12.75" outlineLevelRow="1" x14ac:dyDescent="0.2"/>
  <cols>
    <col min="1" max="1" width="6.5703125" style="1" customWidth="1"/>
    <col min="2" max="2" width="44.7109375" style="1" customWidth="1"/>
    <col min="3" max="16384" width="9.140625" style="1"/>
  </cols>
  <sheetData>
    <row r="1" spans="1:63" x14ac:dyDescent="0.2">
      <c r="A1" s="56"/>
    </row>
    <row r="2" spans="1:63" ht="24" customHeight="1" x14ac:dyDescent="0.2">
      <c r="A2" s="56"/>
      <c r="B2" s="92" t="s">
        <v>163</v>
      </c>
    </row>
    <row r="3" spans="1:63" ht="15.95" customHeight="1" x14ac:dyDescent="0.2">
      <c r="A3" s="77" t="s">
        <v>203</v>
      </c>
      <c r="B3" s="55" t="s">
        <v>167</v>
      </c>
    </row>
    <row r="4" spans="1:63" ht="15.95" customHeight="1" x14ac:dyDescent="0.2">
      <c r="A4" s="77" t="s">
        <v>203</v>
      </c>
      <c r="B4" s="55" t="s">
        <v>168</v>
      </c>
    </row>
    <row r="5" spans="1:63" x14ac:dyDescent="0.2">
      <c r="A5" s="56"/>
    </row>
    <row r="6" spans="1:63" outlineLevel="1" x14ac:dyDescent="0.2">
      <c r="A6" s="56"/>
      <c r="B6" s="19" t="s">
        <v>0</v>
      </c>
      <c r="C6" s="19" t="s">
        <v>1</v>
      </c>
      <c r="D6" s="19" t="s">
        <v>2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19" t="s">
        <v>25</v>
      </c>
      <c r="X6" s="19" t="s">
        <v>26</v>
      </c>
      <c r="Y6" s="19" t="s">
        <v>27</v>
      </c>
      <c r="Z6" s="19" t="s">
        <v>28</v>
      </c>
      <c r="AA6" s="19" t="s">
        <v>29</v>
      </c>
      <c r="AB6" s="19" t="s">
        <v>30</v>
      </c>
      <c r="AC6" s="19" t="s">
        <v>31</v>
      </c>
      <c r="AD6" s="19" t="s">
        <v>32</v>
      </c>
      <c r="AE6" s="19" t="s">
        <v>33</v>
      </c>
      <c r="AF6" s="19" t="s">
        <v>34</v>
      </c>
      <c r="AG6" s="19" t="s">
        <v>35</v>
      </c>
      <c r="AH6" s="19" t="s">
        <v>36</v>
      </c>
      <c r="AI6" s="19" t="s">
        <v>37</v>
      </c>
      <c r="AJ6" s="19" t="s">
        <v>38</v>
      </c>
      <c r="AK6" s="19" t="s">
        <v>39</v>
      </c>
      <c r="AL6" s="19" t="s">
        <v>40</v>
      </c>
      <c r="AM6" s="19" t="s">
        <v>41</v>
      </c>
      <c r="AN6" s="19" t="s">
        <v>170</v>
      </c>
      <c r="AO6" s="19" t="s">
        <v>172</v>
      </c>
      <c r="AP6" s="19" t="s">
        <v>173</v>
      </c>
      <c r="AQ6" s="19" t="s">
        <v>175</v>
      </c>
      <c r="AR6" s="19" t="s">
        <v>182</v>
      </c>
      <c r="AS6" s="19" t="s">
        <v>186</v>
      </c>
      <c r="AT6" s="19" t="s">
        <v>188</v>
      </c>
      <c r="AU6" s="19" t="s">
        <v>191</v>
      </c>
      <c r="AV6" s="19" t="s">
        <v>193</v>
      </c>
      <c r="AW6" s="19" t="s">
        <v>195</v>
      </c>
      <c r="AX6" s="19" t="s">
        <v>205</v>
      </c>
      <c r="AY6" s="19" t="s">
        <v>208</v>
      </c>
      <c r="AZ6" s="19" t="s">
        <v>212</v>
      </c>
      <c r="BA6" s="19" t="s">
        <v>219</v>
      </c>
      <c r="BB6" s="19" t="s">
        <v>222</v>
      </c>
      <c r="BC6" s="19" t="s">
        <v>224</v>
      </c>
      <c r="BD6" s="19" t="s">
        <v>226</v>
      </c>
      <c r="BE6" s="19" t="s">
        <v>225</v>
      </c>
      <c r="BF6" s="19" t="s">
        <v>227</v>
      </c>
      <c r="BG6" s="19" t="s">
        <v>228</v>
      </c>
      <c r="BH6" s="19" t="s">
        <v>236</v>
      </c>
      <c r="BI6" s="19" t="s">
        <v>237</v>
      </c>
      <c r="BJ6" s="19" t="s">
        <v>240</v>
      </c>
    </row>
    <row r="7" spans="1:63" ht="14.1" customHeight="1" outlineLevel="1" x14ac:dyDescent="0.2">
      <c r="A7" s="56"/>
      <c r="B7" s="20" t="s">
        <v>202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63" ht="15" customHeight="1" outlineLevel="1" x14ac:dyDescent="0.2">
      <c r="A8" s="56"/>
      <c r="B8" s="6" t="s">
        <v>42</v>
      </c>
      <c r="C8" s="7">
        <v>1377</v>
      </c>
      <c r="D8" s="7">
        <v>1333</v>
      </c>
      <c r="E8" s="7">
        <v>1132</v>
      </c>
      <c r="F8" s="7">
        <v>1421</v>
      </c>
      <c r="G8" s="7">
        <v>1366</v>
      </c>
      <c r="H8" s="7">
        <v>1259</v>
      </c>
      <c r="I8" s="7">
        <v>1297</v>
      </c>
      <c r="J8" s="7">
        <v>1519</v>
      </c>
      <c r="K8" s="7">
        <v>1412</v>
      </c>
      <c r="L8" s="7">
        <v>1830</v>
      </c>
      <c r="M8" s="7">
        <v>2034</v>
      </c>
      <c r="N8" s="7">
        <v>2066</v>
      </c>
      <c r="O8" s="7">
        <v>1810</v>
      </c>
      <c r="P8" s="7">
        <v>2005</v>
      </c>
      <c r="Q8" s="7">
        <v>1903</v>
      </c>
      <c r="R8" s="7">
        <v>2266</v>
      </c>
      <c r="S8" s="7">
        <v>2339</v>
      </c>
      <c r="T8" s="7">
        <v>2150</v>
      </c>
      <c r="U8" s="7">
        <v>2386</v>
      </c>
      <c r="V8" s="7">
        <v>2115</v>
      </c>
      <c r="W8" s="7">
        <v>1994</v>
      </c>
      <c r="X8" s="7">
        <v>2998</v>
      </c>
      <c r="Y8" s="7">
        <v>2635</v>
      </c>
      <c r="Z8" s="7">
        <v>2531</v>
      </c>
      <c r="AA8" s="7">
        <v>2209</v>
      </c>
      <c r="AB8" s="7">
        <v>2373</v>
      </c>
      <c r="AC8" s="7">
        <v>2200</v>
      </c>
      <c r="AD8" s="7">
        <v>2238</v>
      </c>
      <c r="AE8" s="7">
        <v>2004</v>
      </c>
      <c r="AF8" s="7">
        <v>1711</v>
      </c>
      <c r="AG8" s="7">
        <v>1906</v>
      </c>
      <c r="AH8" s="7">
        <v>1819</v>
      </c>
      <c r="AI8" s="8">
        <v>1653</v>
      </c>
      <c r="AJ8" s="7">
        <v>3670</v>
      </c>
      <c r="AK8" s="7">
        <v>3808</v>
      </c>
      <c r="AL8" s="7">
        <v>3603</v>
      </c>
      <c r="AM8" s="7">
        <v>3570</v>
      </c>
      <c r="AN8" s="7">
        <v>3419</v>
      </c>
      <c r="AO8" s="7">
        <v>3082</v>
      </c>
      <c r="AP8" s="7">
        <v>2606</v>
      </c>
      <c r="AQ8" s="7">
        <v>3041</v>
      </c>
      <c r="AR8" s="7">
        <v>2746.6204480000001</v>
      </c>
      <c r="AS8" s="7">
        <v>2260.72883</v>
      </c>
      <c r="AT8" s="7">
        <v>1846.0777943564945</v>
      </c>
      <c r="AU8" s="7">
        <v>1779.1694158556531</v>
      </c>
      <c r="AV8" s="7">
        <v>1715.0767694172578</v>
      </c>
      <c r="AW8" s="7">
        <v>1447.4346994359778</v>
      </c>
      <c r="AX8" s="7">
        <v>1490.8291633872475</v>
      </c>
      <c r="AY8" s="7">
        <v>1579.1346639999999</v>
      </c>
      <c r="AZ8" s="7">
        <v>1403.3501665471547</v>
      </c>
      <c r="BA8" s="7">
        <v>1635.2649989922677</v>
      </c>
      <c r="BB8" s="7">
        <v>1506.2807012816097</v>
      </c>
      <c r="BC8" s="7">
        <v>1460.2577264003248</v>
      </c>
      <c r="BD8" s="7">
        <v>1256.0736149335257</v>
      </c>
      <c r="BE8" s="7">
        <v>1411.4488243905416</v>
      </c>
      <c r="BF8" s="7">
        <v>1405.2965682747677</v>
      </c>
      <c r="BG8" s="7">
        <v>1387.3346628888362</v>
      </c>
      <c r="BH8" s="7">
        <v>1157.9854928348145</v>
      </c>
      <c r="BI8" s="7">
        <v>1186.9908734093519</v>
      </c>
      <c r="BJ8" s="7">
        <v>1225.7520113798607</v>
      </c>
    </row>
    <row r="9" spans="1:63" ht="15" customHeight="1" outlineLevel="1" x14ac:dyDescent="0.2">
      <c r="A9" s="56"/>
      <c r="B9" s="121" t="s">
        <v>3</v>
      </c>
      <c r="C9" s="122">
        <v>92</v>
      </c>
      <c r="D9" s="122">
        <v>75</v>
      </c>
      <c r="E9" s="122">
        <v>71</v>
      </c>
      <c r="F9" s="122">
        <v>60</v>
      </c>
      <c r="G9" s="122">
        <v>43</v>
      </c>
      <c r="H9" s="122">
        <v>34</v>
      </c>
      <c r="I9" s="122">
        <v>30</v>
      </c>
      <c r="J9" s="122">
        <v>41</v>
      </c>
      <c r="K9" s="122">
        <v>34</v>
      </c>
      <c r="L9" s="122">
        <v>36</v>
      </c>
      <c r="M9" s="122">
        <v>38</v>
      </c>
      <c r="N9" s="122">
        <v>78</v>
      </c>
      <c r="O9" s="122">
        <v>55</v>
      </c>
      <c r="P9" s="21">
        <v>555</v>
      </c>
      <c r="Q9" s="21">
        <v>516</v>
      </c>
      <c r="R9" s="21">
        <v>484</v>
      </c>
      <c r="S9" s="21">
        <v>563</v>
      </c>
      <c r="T9" s="21">
        <v>561</v>
      </c>
      <c r="U9" s="21">
        <v>500</v>
      </c>
      <c r="V9" s="21">
        <v>436</v>
      </c>
      <c r="W9" s="21">
        <v>514</v>
      </c>
      <c r="X9" s="21">
        <v>476</v>
      </c>
      <c r="Y9" s="21">
        <v>357</v>
      </c>
      <c r="Z9" s="21">
        <v>313</v>
      </c>
      <c r="AA9" s="21">
        <v>259</v>
      </c>
      <c r="AB9" s="21">
        <v>754</v>
      </c>
      <c r="AC9" s="21">
        <v>762</v>
      </c>
      <c r="AD9" s="21">
        <v>737</v>
      </c>
      <c r="AE9" s="21">
        <v>663</v>
      </c>
      <c r="AF9" s="21">
        <v>572</v>
      </c>
      <c r="AG9" s="21">
        <v>980</v>
      </c>
      <c r="AH9" s="21">
        <v>1066</v>
      </c>
      <c r="AI9" s="21">
        <v>961</v>
      </c>
      <c r="AJ9" s="21">
        <v>782</v>
      </c>
      <c r="AK9" s="21">
        <v>729</v>
      </c>
      <c r="AL9" s="21">
        <v>658</v>
      </c>
      <c r="AM9" s="21">
        <v>639</v>
      </c>
      <c r="AN9" s="21">
        <v>577.51884199999995</v>
      </c>
      <c r="AO9" s="4">
        <v>541.17988300000002</v>
      </c>
      <c r="AP9" s="4">
        <v>413.59980100000001</v>
      </c>
      <c r="AQ9" s="4">
        <v>310</v>
      </c>
      <c r="AR9" s="4">
        <v>266.14649500000002</v>
      </c>
      <c r="AS9" s="4">
        <v>237.652613</v>
      </c>
      <c r="AT9" s="4">
        <v>191.44550412683063</v>
      </c>
      <c r="AU9" s="4">
        <v>154.50081351376423</v>
      </c>
      <c r="AV9" s="4">
        <v>162.81944898104106</v>
      </c>
      <c r="AW9" s="4">
        <v>79.604203626667712</v>
      </c>
      <c r="AX9" s="4">
        <v>86.916245175134605</v>
      </c>
      <c r="AY9" s="4">
        <v>79.447783000000001</v>
      </c>
      <c r="AZ9" s="4">
        <v>51.980410562879364</v>
      </c>
      <c r="BA9" s="4">
        <v>44.913985196876823</v>
      </c>
      <c r="BB9" s="4">
        <v>32.893025933254357</v>
      </c>
      <c r="BC9" s="4">
        <v>51.5147366367882</v>
      </c>
      <c r="BD9" s="4">
        <v>45.817090974869764</v>
      </c>
      <c r="BE9" s="4">
        <v>38.019308927324047</v>
      </c>
      <c r="BF9" s="4">
        <v>147.84885211323277</v>
      </c>
      <c r="BG9" s="4">
        <v>175.29956971273987</v>
      </c>
      <c r="BH9" s="4">
        <v>236.83378449980253</v>
      </c>
      <c r="BI9" s="4">
        <v>236.31297188457458</v>
      </c>
      <c r="BJ9" s="4">
        <v>297.41797164917017</v>
      </c>
    </row>
    <row r="10" spans="1:63" ht="15" customHeight="1" outlineLevel="1" x14ac:dyDescent="0.2">
      <c r="A10" s="56"/>
      <c r="B10" s="123" t="s">
        <v>4</v>
      </c>
      <c r="C10" s="4">
        <f>+SUM(C11:C15)</f>
        <v>1285</v>
      </c>
      <c r="D10" s="4">
        <f t="shared" ref="D10:BJ10" si="0">+SUM(D11:D15)</f>
        <v>1258</v>
      </c>
      <c r="E10" s="4">
        <f t="shared" si="0"/>
        <v>1061</v>
      </c>
      <c r="F10" s="4">
        <f t="shared" si="0"/>
        <v>1361</v>
      </c>
      <c r="G10" s="4">
        <f t="shared" si="0"/>
        <v>1323</v>
      </c>
      <c r="H10" s="4">
        <f t="shared" si="0"/>
        <v>1225</v>
      </c>
      <c r="I10" s="4">
        <f t="shared" si="0"/>
        <v>1266</v>
      </c>
      <c r="J10" s="4">
        <f t="shared" si="0"/>
        <v>1478</v>
      </c>
      <c r="K10" s="4">
        <f t="shared" si="0"/>
        <v>1377</v>
      </c>
      <c r="L10" s="4">
        <f t="shared" si="0"/>
        <v>1792</v>
      </c>
      <c r="M10" s="4">
        <f t="shared" si="0"/>
        <v>1996</v>
      </c>
      <c r="N10" s="4">
        <f t="shared" si="0"/>
        <v>1988</v>
      </c>
      <c r="O10" s="4">
        <f t="shared" si="0"/>
        <v>1755</v>
      </c>
      <c r="P10" s="4">
        <f t="shared" si="0"/>
        <v>1450</v>
      </c>
      <c r="Q10" s="4">
        <f t="shared" si="0"/>
        <v>1387</v>
      </c>
      <c r="R10" s="4">
        <f t="shared" si="0"/>
        <v>1782</v>
      </c>
      <c r="S10" s="4">
        <f t="shared" si="0"/>
        <v>1776</v>
      </c>
      <c r="T10" s="4">
        <f t="shared" si="0"/>
        <v>1590</v>
      </c>
      <c r="U10" s="4">
        <f t="shared" si="0"/>
        <v>1886</v>
      </c>
      <c r="V10" s="4">
        <f t="shared" si="0"/>
        <v>1679</v>
      </c>
      <c r="W10" s="4">
        <f t="shared" si="0"/>
        <v>1481</v>
      </c>
      <c r="X10" s="4">
        <f t="shared" si="0"/>
        <v>2524</v>
      </c>
      <c r="Y10" s="4">
        <f t="shared" si="0"/>
        <v>2279</v>
      </c>
      <c r="Z10" s="4">
        <f t="shared" si="0"/>
        <v>2219</v>
      </c>
      <c r="AA10" s="4">
        <f t="shared" si="0"/>
        <v>1950</v>
      </c>
      <c r="AB10" s="4">
        <f t="shared" si="0"/>
        <v>1619</v>
      </c>
      <c r="AC10" s="4">
        <f t="shared" si="0"/>
        <v>1439</v>
      </c>
      <c r="AD10" s="4">
        <f t="shared" si="0"/>
        <v>1502</v>
      </c>
      <c r="AE10" s="4">
        <f t="shared" si="0"/>
        <v>1341</v>
      </c>
      <c r="AF10" s="4">
        <f t="shared" si="0"/>
        <v>1139</v>
      </c>
      <c r="AG10" s="4">
        <f t="shared" si="0"/>
        <v>926</v>
      </c>
      <c r="AH10" s="4">
        <f t="shared" si="0"/>
        <v>753</v>
      </c>
      <c r="AI10" s="4">
        <f t="shared" si="0"/>
        <v>691</v>
      </c>
      <c r="AJ10" s="4">
        <f t="shared" si="0"/>
        <v>2889</v>
      </c>
      <c r="AK10" s="4">
        <f t="shared" si="0"/>
        <v>3079</v>
      </c>
      <c r="AL10" s="4">
        <f t="shared" si="0"/>
        <v>2945</v>
      </c>
      <c r="AM10" s="4">
        <f t="shared" si="0"/>
        <v>2932</v>
      </c>
      <c r="AN10" s="4">
        <f t="shared" si="0"/>
        <v>2841.2429069999998</v>
      </c>
      <c r="AO10" s="4">
        <f t="shared" si="0"/>
        <v>2541</v>
      </c>
      <c r="AP10" s="4">
        <f t="shared" si="0"/>
        <v>2192</v>
      </c>
      <c r="AQ10" s="4">
        <f t="shared" si="0"/>
        <v>2731</v>
      </c>
      <c r="AR10" s="4">
        <f t="shared" si="0"/>
        <v>2480.4739533875495</v>
      </c>
      <c r="AS10" s="4">
        <f t="shared" si="0"/>
        <v>2023.076217</v>
      </c>
      <c r="AT10" s="4">
        <f t="shared" si="0"/>
        <v>1654.6322902296638</v>
      </c>
      <c r="AU10" s="4">
        <f t="shared" si="0"/>
        <v>1624.6686023418888</v>
      </c>
      <c r="AV10" s="4">
        <f t="shared" si="0"/>
        <v>1552.2573204362168</v>
      </c>
      <c r="AW10" s="4">
        <f t="shared" si="0"/>
        <v>1367.8304958093099</v>
      </c>
      <c r="AX10" s="4">
        <f t="shared" si="0"/>
        <v>1403.912916</v>
      </c>
      <c r="AY10" s="4">
        <f t="shared" si="0"/>
        <v>1499.6868806255643</v>
      </c>
      <c r="AZ10" s="4">
        <f t="shared" si="0"/>
        <v>1351.3697559842751</v>
      </c>
      <c r="BA10" s="4">
        <f t="shared" si="0"/>
        <v>1590.3510137953913</v>
      </c>
      <c r="BB10" s="4">
        <f t="shared" si="0"/>
        <v>1472.7132615695632</v>
      </c>
      <c r="BC10" s="4">
        <f t="shared" si="0"/>
        <v>1408.7429897635366</v>
      </c>
      <c r="BD10" s="4">
        <f t="shared" si="0"/>
        <v>1210.2565239586563</v>
      </c>
      <c r="BE10" s="4">
        <f t="shared" si="0"/>
        <v>1373.4295154632175</v>
      </c>
      <c r="BF10" s="4">
        <f t="shared" si="0"/>
        <v>1257.4477161615348</v>
      </c>
      <c r="BG10" s="4">
        <f t="shared" si="0"/>
        <v>1212.0350931760963</v>
      </c>
      <c r="BH10" s="4">
        <f t="shared" si="0"/>
        <v>921.1517083350119</v>
      </c>
      <c r="BI10" s="4">
        <f t="shared" si="0"/>
        <v>950.67790152477721</v>
      </c>
      <c r="BJ10" s="4">
        <f t="shared" si="0"/>
        <v>928.33403973069085</v>
      </c>
    </row>
    <row r="11" spans="1:63" ht="15" customHeight="1" outlineLevel="1" x14ac:dyDescent="0.2">
      <c r="A11" s="56"/>
      <c r="B11" s="12" t="s">
        <v>5</v>
      </c>
      <c r="C11" s="3">
        <v>824</v>
      </c>
      <c r="D11" s="3">
        <v>821</v>
      </c>
      <c r="E11" s="3">
        <v>697</v>
      </c>
      <c r="F11" s="3">
        <v>1007</v>
      </c>
      <c r="G11" s="3">
        <v>860</v>
      </c>
      <c r="H11" s="3">
        <v>823</v>
      </c>
      <c r="I11" s="3">
        <v>757</v>
      </c>
      <c r="J11" s="3">
        <v>723</v>
      </c>
      <c r="K11" s="3">
        <v>626</v>
      </c>
      <c r="L11" s="3">
        <v>520</v>
      </c>
      <c r="M11" s="25">
        <v>531</v>
      </c>
      <c r="N11" s="25">
        <v>581</v>
      </c>
      <c r="O11" s="25">
        <v>454</v>
      </c>
      <c r="P11" s="13">
        <v>349</v>
      </c>
      <c r="Q11" s="13">
        <v>402</v>
      </c>
      <c r="R11" s="13">
        <v>941</v>
      </c>
      <c r="S11" s="13">
        <v>1005</v>
      </c>
      <c r="T11" s="13">
        <v>913</v>
      </c>
      <c r="U11" s="13">
        <v>835</v>
      </c>
      <c r="V11" s="13">
        <v>775</v>
      </c>
      <c r="W11" s="13">
        <v>761</v>
      </c>
      <c r="X11" s="13">
        <v>693</v>
      </c>
      <c r="Y11" s="13">
        <v>592</v>
      </c>
      <c r="Z11" s="13">
        <v>517</v>
      </c>
      <c r="AA11" s="13">
        <v>468</v>
      </c>
      <c r="AB11" s="13">
        <v>359</v>
      </c>
      <c r="AC11" s="13">
        <v>303</v>
      </c>
      <c r="AD11" s="13">
        <v>552</v>
      </c>
      <c r="AE11" s="13">
        <v>516</v>
      </c>
      <c r="AF11" s="13">
        <v>426</v>
      </c>
      <c r="AG11" s="13">
        <v>352</v>
      </c>
      <c r="AH11" s="13">
        <v>307</v>
      </c>
      <c r="AI11" s="13">
        <v>266</v>
      </c>
      <c r="AJ11" s="13">
        <v>2603</v>
      </c>
      <c r="AK11" s="13">
        <v>2703</v>
      </c>
      <c r="AL11" s="13">
        <v>2632</v>
      </c>
      <c r="AM11" s="13">
        <v>2680</v>
      </c>
      <c r="AN11" s="13">
        <v>2369.071516</v>
      </c>
      <c r="AO11" s="13">
        <v>2078</v>
      </c>
      <c r="AP11" s="13">
        <v>1762</v>
      </c>
      <c r="AQ11" s="13">
        <v>2152</v>
      </c>
      <c r="AR11" s="13">
        <v>1896.2166327940297</v>
      </c>
      <c r="AS11" s="13">
        <v>1480.2832100000001</v>
      </c>
      <c r="AT11" s="13">
        <v>1168.4163918841014</v>
      </c>
      <c r="AU11" s="13">
        <v>997.14742192940105</v>
      </c>
      <c r="AV11" s="13">
        <v>746.16047521756582</v>
      </c>
      <c r="AW11" s="13">
        <v>683.77791440652356</v>
      </c>
      <c r="AX11" s="3">
        <v>647.44553099999996</v>
      </c>
      <c r="AY11" s="3">
        <v>816.96547962556417</v>
      </c>
      <c r="AZ11" s="3">
        <v>590.47057847175734</v>
      </c>
      <c r="BA11" s="3">
        <v>475.30613737465671</v>
      </c>
      <c r="BB11" s="3">
        <v>412.77715703589109</v>
      </c>
      <c r="BC11" s="3">
        <v>446.27852923027314</v>
      </c>
      <c r="BD11" s="3">
        <v>392.22100474506692</v>
      </c>
      <c r="BE11" s="3">
        <v>666.35512691841006</v>
      </c>
      <c r="BF11" s="3">
        <v>651.90157858372504</v>
      </c>
      <c r="BG11" s="3">
        <v>676.28842271371195</v>
      </c>
      <c r="BH11" s="3">
        <v>614.23630121794326</v>
      </c>
      <c r="BI11" s="3">
        <v>663.06865636414148</v>
      </c>
      <c r="BJ11" s="3">
        <v>628.81316807487133</v>
      </c>
    </row>
    <row r="12" spans="1:63" ht="15" customHeight="1" outlineLevel="1" x14ac:dyDescent="0.2">
      <c r="A12" s="56"/>
      <c r="B12" s="12" t="s">
        <v>6</v>
      </c>
      <c r="C12" s="3">
        <v>111</v>
      </c>
      <c r="D12" s="3">
        <v>122</v>
      </c>
      <c r="E12" s="3">
        <v>84</v>
      </c>
      <c r="F12" s="3">
        <v>91</v>
      </c>
      <c r="G12" s="3">
        <v>227</v>
      </c>
      <c r="H12" s="3">
        <v>194</v>
      </c>
      <c r="I12" s="3">
        <v>328</v>
      </c>
      <c r="J12" s="3">
        <v>552</v>
      </c>
      <c r="K12" s="3">
        <v>517</v>
      </c>
      <c r="L12" s="3">
        <v>483</v>
      </c>
      <c r="M12" s="25">
        <v>722</v>
      </c>
      <c r="N12" s="25">
        <v>697</v>
      </c>
      <c r="O12" s="25">
        <v>627</v>
      </c>
      <c r="P12" s="3">
        <v>524</v>
      </c>
      <c r="Q12" s="3">
        <v>493</v>
      </c>
      <c r="R12" s="3">
        <v>366</v>
      </c>
      <c r="S12" s="3">
        <v>373</v>
      </c>
      <c r="T12" s="3">
        <v>324</v>
      </c>
      <c r="U12" s="3">
        <v>796</v>
      </c>
      <c r="V12" s="3">
        <v>715</v>
      </c>
      <c r="W12" s="3">
        <v>556</v>
      </c>
      <c r="X12" s="3">
        <v>1692</v>
      </c>
      <c r="Y12" s="3">
        <v>1546</v>
      </c>
      <c r="Z12" s="3">
        <v>1565</v>
      </c>
      <c r="AA12" s="13">
        <v>1350</v>
      </c>
      <c r="AB12" s="13">
        <v>1229</v>
      </c>
      <c r="AC12" s="13">
        <v>1112</v>
      </c>
      <c r="AD12" s="13">
        <v>947</v>
      </c>
      <c r="AE12" s="13">
        <v>823</v>
      </c>
      <c r="AF12" s="13">
        <v>711</v>
      </c>
      <c r="AG12" s="13">
        <v>573</v>
      </c>
      <c r="AH12" s="13">
        <v>446</v>
      </c>
      <c r="AI12" s="13">
        <v>425</v>
      </c>
      <c r="AJ12" s="13">
        <v>286</v>
      </c>
      <c r="AK12" s="13">
        <v>376</v>
      </c>
      <c r="AL12" s="13">
        <v>313</v>
      </c>
      <c r="AM12" s="13">
        <v>252</v>
      </c>
      <c r="AN12" s="13">
        <v>472.17139100000003</v>
      </c>
      <c r="AO12" s="13">
        <v>463</v>
      </c>
      <c r="AP12" s="13">
        <v>430</v>
      </c>
      <c r="AQ12" s="13">
        <v>579</v>
      </c>
      <c r="AR12" s="13">
        <v>584.25732059351992</v>
      </c>
      <c r="AS12" s="13">
        <v>542.79300699999999</v>
      </c>
      <c r="AT12" s="13">
        <v>486.21589834556244</v>
      </c>
      <c r="AU12" s="13">
        <v>627.52118041248775</v>
      </c>
      <c r="AV12" s="13">
        <v>806.09684521865097</v>
      </c>
      <c r="AW12" s="13">
        <v>684.05258140278647</v>
      </c>
      <c r="AX12" s="3">
        <v>756.46738500000004</v>
      </c>
      <c r="AY12" s="3">
        <v>682.72140100000001</v>
      </c>
      <c r="AZ12" s="3">
        <v>760.89917751251778</v>
      </c>
      <c r="BA12" s="3">
        <v>1115.0448764207345</v>
      </c>
      <c r="BB12" s="3">
        <v>1059.9361045336721</v>
      </c>
      <c r="BC12" s="3">
        <v>962.46446053326349</v>
      </c>
      <c r="BD12" s="3">
        <v>759.37463286125603</v>
      </c>
      <c r="BE12" s="3">
        <v>662.95837541526089</v>
      </c>
      <c r="BF12" s="3">
        <v>576.98655268650987</v>
      </c>
      <c r="BG12" s="3">
        <v>522.57419036238434</v>
      </c>
      <c r="BH12" s="3">
        <v>306.16504207740701</v>
      </c>
      <c r="BI12" s="3">
        <v>286.85888012097405</v>
      </c>
      <c r="BJ12" s="3">
        <v>298.77050661615783</v>
      </c>
      <c r="BK12" s="36"/>
    </row>
    <row r="13" spans="1:63" ht="15" customHeight="1" outlineLevel="1" x14ac:dyDescent="0.2">
      <c r="A13" s="56"/>
      <c r="B13" s="12" t="s">
        <v>229</v>
      </c>
      <c r="C13" s="3" t="s">
        <v>153</v>
      </c>
      <c r="D13" s="3" t="s">
        <v>153</v>
      </c>
      <c r="E13" s="3" t="s">
        <v>153</v>
      </c>
      <c r="F13" s="3" t="s">
        <v>153</v>
      </c>
      <c r="G13" s="3" t="s">
        <v>153</v>
      </c>
      <c r="H13" s="3" t="s">
        <v>153</v>
      </c>
      <c r="I13" s="3" t="s">
        <v>153</v>
      </c>
      <c r="J13" s="3" t="s">
        <v>153</v>
      </c>
      <c r="K13" s="3" t="s">
        <v>153</v>
      </c>
      <c r="L13" s="3" t="s">
        <v>153</v>
      </c>
      <c r="M13" s="3" t="s">
        <v>153</v>
      </c>
      <c r="N13" s="3" t="s">
        <v>153</v>
      </c>
      <c r="O13" s="3" t="s">
        <v>153</v>
      </c>
      <c r="P13" s="3" t="s">
        <v>153</v>
      </c>
      <c r="Q13" s="3" t="s">
        <v>153</v>
      </c>
      <c r="R13" s="3" t="s">
        <v>153</v>
      </c>
      <c r="S13" s="3" t="s">
        <v>153</v>
      </c>
      <c r="T13" s="3" t="s">
        <v>153</v>
      </c>
      <c r="U13" s="3" t="s">
        <v>153</v>
      </c>
      <c r="V13" s="3" t="s">
        <v>153</v>
      </c>
      <c r="W13" s="3" t="s">
        <v>153</v>
      </c>
      <c r="X13" s="3" t="s">
        <v>153</v>
      </c>
      <c r="Y13" s="3" t="s">
        <v>153</v>
      </c>
      <c r="Z13" s="3" t="s">
        <v>153</v>
      </c>
      <c r="AA13" s="3" t="s">
        <v>153</v>
      </c>
      <c r="AB13" s="3" t="s">
        <v>153</v>
      </c>
      <c r="AC13" s="3" t="s">
        <v>153</v>
      </c>
      <c r="AD13" s="3" t="s">
        <v>153</v>
      </c>
      <c r="AE13" s="3" t="s">
        <v>153</v>
      </c>
      <c r="AF13" s="3" t="s">
        <v>153</v>
      </c>
      <c r="AG13" s="3" t="s">
        <v>153</v>
      </c>
      <c r="AH13" s="3" t="s">
        <v>153</v>
      </c>
      <c r="AI13" s="3" t="s">
        <v>153</v>
      </c>
      <c r="AJ13" s="3" t="s">
        <v>153</v>
      </c>
      <c r="AK13" s="3" t="s">
        <v>153</v>
      </c>
      <c r="AL13" s="3" t="s">
        <v>153</v>
      </c>
      <c r="AM13" s="3" t="s">
        <v>153</v>
      </c>
      <c r="AN13" s="3" t="s">
        <v>153</v>
      </c>
      <c r="AO13" s="3" t="s">
        <v>153</v>
      </c>
      <c r="AP13" s="3" t="s">
        <v>153</v>
      </c>
      <c r="AQ13" s="3" t="s">
        <v>153</v>
      </c>
      <c r="AR13" s="3" t="s">
        <v>153</v>
      </c>
      <c r="AS13" s="3" t="s">
        <v>153</v>
      </c>
      <c r="AT13" s="3" t="s">
        <v>153</v>
      </c>
      <c r="AU13" s="3" t="s">
        <v>153</v>
      </c>
      <c r="AV13" s="3" t="s">
        <v>153</v>
      </c>
      <c r="AW13" s="3" t="s">
        <v>153</v>
      </c>
      <c r="AX13" s="3" t="s">
        <v>153</v>
      </c>
      <c r="AY13" s="3" t="s">
        <v>153</v>
      </c>
      <c r="AZ13" s="3" t="s">
        <v>153</v>
      </c>
      <c r="BA13" s="3" t="s">
        <v>153</v>
      </c>
      <c r="BB13" s="3" t="s">
        <v>153</v>
      </c>
      <c r="BC13" s="3" t="s">
        <v>153</v>
      </c>
      <c r="BD13" s="3">
        <v>58.660886352333399</v>
      </c>
      <c r="BE13" s="3">
        <v>44.116013129546701</v>
      </c>
      <c r="BF13" s="3">
        <v>28.559584891299963</v>
      </c>
      <c r="BG13" s="3">
        <v>13.1724801</v>
      </c>
      <c r="BH13" s="3">
        <v>0.75036503966167567</v>
      </c>
      <c r="BI13" s="3">
        <v>0.75036503966167567</v>
      </c>
      <c r="BJ13" s="3">
        <v>0.75036503966167567</v>
      </c>
    </row>
    <row r="14" spans="1:63" ht="15" customHeight="1" outlineLevel="1" x14ac:dyDescent="0.2">
      <c r="A14" s="56"/>
      <c r="B14" s="12" t="s">
        <v>63</v>
      </c>
      <c r="C14" s="3">
        <v>333</v>
      </c>
      <c r="D14" s="3">
        <v>299</v>
      </c>
      <c r="E14" s="3">
        <v>270</v>
      </c>
      <c r="F14" s="3">
        <v>251</v>
      </c>
      <c r="G14" s="3">
        <v>220</v>
      </c>
      <c r="H14" s="3">
        <v>194</v>
      </c>
      <c r="I14" s="3">
        <v>168</v>
      </c>
      <c r="J14" s="3">
        <v>193</v>
      </c>
      <c r="K14" s="3">
        <v>227</v>
      </c>
      <c r="L14" s="3">
        <v>789</v>
      </c>
      <c r="M14" s="25">
        <v>743</v>
      </c>
      <c r="N14" s="25">
        <v>710</v>
      </c>
      <c r="O14" s="25">
        <v>674</v>
      </c>
      <c r="P14" s="13">
        <v>577</v>
      </c>
      <c r="Q14" s="13">
        <v>492</v>
      </c>
      <c r="R14" s="13">
        <v>475</v>
      </c>
      <c r="S14" s="13">
        <v>398</v>
      </c>
      <c r="T14" s="13">
        <v>353</v>
      </c>
      <c r="U14" s="13">
        <v>255</v>
      </c>
      <c r="V14" s="13">
        <v>189</v>
      </c>
      <c r="W14" s="13">
        <v>164</v>
      </c>
      <c r="X14" s="13">
        <v>139</v>
      </c>
      <c r="Y14" s="13">
        <v>141</v>
      </c>
      <c r="Z14" s="13">
        <v>137</v>
      </c>
      <c r="AA14" s="13">
        <v>132</v>
      </c>
      <c r="AB14" s="13">
        <v>31</v>
      </c>
      <c r="AC14" s="13">
        <v>24</v>
      </c>
      <c r="AD14" s="13">
        <v>3</v>
      </c>
      <c r="AE14" s="13">
        <v>2</v>
      </c>
      <c r="AF14" s="13">
        <v>2</v>
      </c>
      <c r="AG14" s="13">
        <v>1</v>
      </c>
      <c r="AH14" s="3" t="s">
        <v>153</v>
      </c>
      <c r="AI14" s="13" t="s">
        <v>153</v>
      </c>
      <c r="AJ14" s="13" t="s">
        <v>153</v>
      </c>
      <c r="AK14" s="13" t="s">
        <v>153</v>
      </c>
      <c r="AL14" s="13" t="s">
        <v>153</v>
      </c>
      <c r="AM14" s="13" t="s">
        <v>153</v>
      </c>
      <c r="AN14" s="13" t="s">
        <v>153</v>
      </c>
      <c r="AO14" s="13" t="s">
        <v>153</v>
      </c>
      <c r="AP14" s="13" t="s">
        <v>153</v>
      </c>
      <c r="AQ14" s="13" t="s">
        <v>153</v>
      </c>
      <c r="AR14" s="13" t="s">
        <v>153</v>
      </c>
      <c r="AS14" s="13" t="s">
        <v>153</v>
      </c>
      <c r="AT14" s="13" t="s">
        <v>153</v>
      </c>
      <c r="AU14" s="13" t="s">
        <v>153</v>
      </c>
      <c r="AV14" s="13" t="s">
        <v>153</v>
      </c>
      <c r="AW14" s="13" t="s">
        <v>153</v>
      </c>
      <c r="AX14" s="13" t="s">
        <v>153</v>
      </c>
      <c r="AY14" s="13" t="s">
        <v>153</v>
      </c>
      <c r="AZ14" s="13" t="s">
        <v>153</v>
      </c>
      <c r="BA14" s="13" t="s">
        <v>153</v>
      </c>
      <c r="BB14" s="13" t="s">
        <v>153</v>
      </c>
      <c r="BC14" s="13" t="s">
        <v>153</v>
      </c>
      <c r="BD14" s="13" t="s">
        <v>153</v>
      </c>
      <c r="BE14" s="13" t="s">
        <v>153</v>
      </c>
      <c r="BF14" s="13" t="s">
        <v>153</v>
      </c>
      <c r="BG14" s="13" t="s">
        <v>153</v>
      </c>
      <c r="BH14" s="13" t="s">
        <v>153</v>
      </c>
      <c r="BI14" s="13" t="s">
        <v>153</v>
      </c>
      <c r="BJ14" s="13" t="s">
        <v>153</v>
      </c>
    </row>
    <row r="15" spans="1:63" ht="15" customHeight="1" outlineLevel="1" x14ac:dyDescent="0.2">
      <c r="A15" s="56"/>
      <c r="B15" s="14" t="s">
        <v>136</v>
      </c>
      <c r="C15" s="18">
        <v>17</v>
      </c>
      <c r="D15" s="18">
        <v>16</v>
      </c>
      <c r="E15" s="18">
        <v>10</v>
      </c>
      <c r="F15" s="18">
        <v>12</v>
      </c>
      <c r="G15" s="18">
        <v>16</v>
      </c>
      <c r="H15" s="18">
        <v>14</v>
      </c>
      <c r="I15" s="18">
        <v>13</v>
      </c>
      <c r="J15" s="18">
        <v>10</v>
      </c>
      <c r="K15" s="18">
        <v>7</v>
      </c>
      <c r="L15" s="15" t="s">
        <v>153</v>
      </c>
      <c r="M15" s="15" t="s">
        <v>153</v>
      </c>
      <c r="N15" s="15" t="s">
        <v>153</v>
      </c>
      <c r="O15" s="15" t="s">
        <v>153</v>
      </c>
      <c r="P15" s="15" t="s">
        <v>153</v>
      </c>
      <c r="Q15" s="15" t="s">
        <v>153</v>
      </c>
      <c r="R15" s="15" t="s">
        <v>153</v>
      </c>
      <c r="S15" s="15" t="s">
        <v>153</v>
      </c>
      <c r="T15" s="15" t="s">
        <v>153</v>
      </c>
      <c r="U15" s="15" t="s">
        <v>153</v>
      </c>
      <c r="V15" s="15" t="s">
        <v>153</v>
      </c>
      <c r="W15" s="15" t="s">
        <v>153</v>
      </c>
      <c r="X15" s="15" t="s">
        <v>153</v>
      </c>
      <c r="Y15" s="15" t="s">
        <v>153</v>
      </c>
      <c r="Z15" s="15" t="s">
        <v>153</v>
      </c>
      <c r="AA15" s="15" t="s">
        <v>153</v>
      </c>
      <c r="AB15" s="15" t="s">
        <v>153</v>
      </c>
      <c r="AC15" s="15" t="s">
        <v>153</v>
      </c>
      <c r="AD15" s="15" t="s">
        <v>153</v>
      </c>
      <c r="AE15" s="15" t="s">
        <v>153</v>
      </c>
      <c r="AF15" s="15" t="s">
        <v>153</v>
      </c>
      <c r="AG15" s="15" t="s">
        <v>153</v>
      </c>
      <c r="AH15" s="3" t="s">
        <v>153</v>
      </c>
      <c r="AI15" s="15" t="s">
        <v>153</v>
      </c>
      <c r="AJ15" s="15" t="s">
        <v>153</v>
      </c>
      <c r="AK15" s="15" t="s">
        <v>153</v>
      </c>
      <c r="AL15" s="15" t="s">
        <v>153</v>
      </c>
      <c r="AM15" s="15" t="s">
        <v>153</v>
      </c>
      <c r="AN15" s="15" t="s">
        <v>153</v>
      </c>
      <c r="AO15" s="15" t="s">
        <v>153</v>
      </c>
      <c r="AP15" s="15" t="s">
        <v>153</v>
      </c>
      <c r="AQ15" s="15" t="s">
        <v>153</v>
      </c>
      <c r="AR15" s="15" t="s">
        <v>153</v>
      </c>
      <c r="AS15" s="15" t="s">
        <v>153</v>
      </c>
      <c r="AT15" s="15" t="s">
        <v>153</v>
      </c>
      <c r="AU15" s="15" t="s">
        <v>153</v>
      </c>
      <c r="AV15" s="15" t="s">
        <v>153</v>
      </c>
      <c r="AW15" s="15" t="s">
        <v>153</v>
      </c>
      <c r="AX15" s="15" t="s">
        <v>153</v>
      </c>
      <c r="AY15" s="15" t="s">
        <v>153</v>
      </c>
      <c r="AZ15" s="15" t="s">
        <v>153</v>
      </c>
      <c r="BA15" s="15" t="s">
        <v>153</v>
      </c>
      <c r="BB15" s="15" t="s">
        <v>153</v>
      </c>
      <c r="BC15" s="15" t="s">
        <v>153</v>
      </c>
      <c r="BD15" s="15" t="s">
        <v>153</v>
      </c>
      <c r="BE15" s="15" t="s">
        <v>153</v>
      </c>
      <c r="BF15" s="15" t="s">
        <v>153</v>
      </c>
      <c r="BG15" s="15" t="s">
        <v>153</v>
      </c>
      <c r="BH15" s="15" t="s">
        <v>153</v>
      </c>
      <c r="BI15" s="15" t="s">
        <v>153</v>
      </c>
      <c r="BJ15" s="15" t="s">
        <v>153</v>
      </c>
    </row>
    <row r="16" spans="1:63" ht="15" customHeight="1" outlineLevel="1" x14ac:dyDescent="0.2">
      <c r="A16" s="56"/>
      <c r="B16" s="16" t="s">
        <v>80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62" ht="15" customHeight="1" outlineLevel="1" x14ac:dyDescent="0.2">
      <c r="A17" s="56"/>
      <c r="B17" s="11" t="s">
        <v>43</v>
      </c>
      <c r="C17" s="25">
        <v>575</v>
      </c>
      <c r="D17" s="25">
        <v>597</v>
      </c>
      <c r="E17" s="25">
        <v>516</v>
      </c>
      <c r="F17" s="25">
        <v>466</v>
      </c>
      <c r="G17" s="25">
        <v>392</v>
      </c>
      <c r="H17" s="25">
        <v>396</v>
      </c>
      <c r="I17" s="25">
        <v>355</v>
      </c>
      <c r="J17" s="25">
        <v>315</v>
      </c>
      <c r="K17" s="25">
        <v>277</v>
      </c>
      <c r="L17" s="25">
        <v>208</v>
      </c>
      <c r="M17" s="3">
        <v>261</v>
      </c>
      <c r="N17" s="3">
        <v>362</v>
      </c>
      <c r="O17" s="3">
        <v>271</v>
      </c>
      <c r="P17" s="3">
        <v>182</v>
      </c>
      <c r="Q17" s="3">
        <v>161</v>
      </c>
      <c r="R17" s="3">
        <v>746</v>
      </c>
      <c r="S17" s="3">
        <v>712</v>
      </c>
      <c r="T17" s="3">
        <v>702</v>
      </c>
      <c r="U17" s="3">
        <v>683</v>
      </c>
      <c r="V17" s="3">
        <v>633</v>
      </c>
      <c r="W17" s="3">
        <v>600</v>
      </c>
      <c r="X17" s="3">
        <v>558</v>
      </c>
      <c r="Y17" s="3">
        <v>501</v>
      </c>
      <c r="Z17" s="3">
        <v>450</v>
      </c>
      <c r="AA17" s="3">
        <v>421</v>
      </c>
      <c r="AB17" s="3">
        <v>319</v>
      </c>
      <c r="AC17" s="3">
        <v>269</v>
      </c>
      <c r="AD17" s="3">
        <v>526</v>
      </c>
      <c r="AE17" s="3">
        <v>496</v>
      </c>
      <c r="AF17" s="3">
        <v>402</v>
      </c>
      <c r="AG17" s="3">
        <v>352</v>
      </c>
      <c r="AH17" s="3">
        <v>442</v>
      </c>
      <c r="AI17" s="3">
        <v>402</v>
      </c>
      <c r="AJ17" s="3">
        <v>2409</v>
      </c>
      <c r="AK17" s="3">
        <v>2287</v>
      </c>
      <c r="AL17" s="3">
        <v>2227</v>
      </c>
      <c r="AM17" s="3">
        <v>2279</v>
      </c>
      <c r="AN17" s="3">
        <v>1962.0526689999999</v>
      </c>
      <c r="AO17" s="3">
        <v>1678</v>
      </c>
      <c r="AP17" s="3">
        <v>1367</v>
      </c>
      <c r="AQ17" s="3">
        <v>1159</v>
      </c>
      <c r="AR17" s="3">
        <v>1035.9878732419199</v>
      </c>
      <c r="AS17" s="3">
        <v>680.24648500000001</v>
      </c>
      <c r="AT17" s="3">
        <v>448.86398846532006</v>
      </c>
      <c r="AU17" s="3">
        <v>348.08236748933939</v>
      </c>
      <c r="AV17" s="3">
        <v>172.97718506997003</v>
      </c>
      <c r="AW17" s="3">
        <v>204.0264221564191</v>
      </c>
      <c r="AX17" s="3">
        <v>229.93423899999999</v>
      </c>
      <c r="AY17" s="3">
        <v>423.37903162556421</v>
      </c>
      <c r="AZ17" s="3">
        <v>339.00492941977473</v>
      </c>
      <c r="BA17" s="3">
        <v>300.74278521485036</v>
      </c>
      <c r="BB17" s="3">
        <v>277.43137085439179</v>
      </c>
      <c r="BC17" s="3">
        <v>231.01717992491484</v>
      </c>
      <c r="BD17" s="3">
        <v>233.74030354612165</v>
      </c>
      <c r="BE17" s="3">
        <v>178.33940303379208</v>
      </c>
      <c r="BF17" s="3">
        <v>157.8450686091345</v>
      </c>
      <c r="BG17" s="3">
        <v>139.15076724035865</v>
      </c>
      <c r="BH17" s="3">
        <v>119.132936</v>
      </c>
      <c r="BI17" s="3">
        <v>114.024019</v>
      </c>
      <c r="BJ17" s="3">
        <v>103.5</v>
      </c>
    </row>
    <row r="18" spans="1:62" ht="15" customHeight="1" outlineLevel="1" x14ac:dyDescent="0.2">
      <c r="A18" s="56"/>
      <c r="B18" s="11" t="s">
        <v>44</v>
      </c>
      <c r="C18" s="25">
        <v>288</v>
      </c>
      <c r="D18" s="25">
        <v>286</v>
      </c>
      <c r="E18" s="25">
        <v>256</v>
      </c>
      <c r="F18" s="25">
        <v>241</v>
      </c>
      <c r="G18" s="25">
        <v>213</v>
      </c>
      <c r="H18" s="25">
        <v>191</v>
      </c>
      <c r="I18" s="25">
        <v>175</v>
      </c>
      <c r="J18" s="25">
        <v>155</v>
      </c>
      <c r="K18" s="25">
        <v>174</v>
      </c>
      <c r="L18" s="25">
        <v>587</v>
      </c>
      <c r="M18" s="3">
        <v>544</v>
      </c>
      <c r="N18" s="3">
        <v>540</v>
      </c>
      <c r="O18" s="3">
        <v>525</v>
      </c>
      <c r="P18" s="3">
        <v>475</v>
      </c>
      <c r="Q18" s="3">
        <v>409</v>
      </c>
      <c r="R18" s="3">
        <v>420</v>
      </c>
      <c r="S18" s="3">
        <v>368</v>
      </c>
      <c r="T18" s="3">
        <v>320</v>
      </c>
      <c r="U18" s="3">
        <v>237</v>
      </c>
      <c r="V18" s="3">
        <v>198</v>
      </c>
      <c r="W18" s="3">
        <v>306</v>
      </c>
      <c r="X18" s="3">
        <v>276</v>
      </c>
      <c r="Y18" s="3">
        <v>275</v>
      </c>
      <c r="Z18" s="3">
        <v>261</v>
      </c>
      <c r="AA18" s="3">
        <v>246</v>
      </c>
      <c r="AB18" s="3">
        <v>699</v>
      </c>
      <c r="AC18" s="3">
        <v>691</v>
      </c>
      <c r="AD18" s="3">
        <v>677</v>
      </c>
      <c r="AE18" s="3">
        <v>610</v>
      </c>
      <c r="AF18" s="3">
        <v>564</v>
      </c>
      <c r="AG18" s="3">
        <v>520</v>
      </c>
      <c r="AH18" s="3">
        <v>913</v>
      </c>
      <c r="AI18" s="3">
        <v>814</v>
      </c>
      <c r="AJ18" s="3">
        <v>966</v>
      </c>
      <c r="AK18" s="3">
        <v>873</v>
      </c>
      <c r="AL18" s="3">
        <v>793</v>
      </c>
      <c r="AM18" s="3">
        <v>697</v>
      </c>
      <c r="AN18" s="3">
        <v>561.45122100000003</v>
      </c>
      <c r="AO18" s="3">
        <v>484</v>
      </c>
      <c r="AP18" s="3">
        <v>409</v>
      </c>
      <c r="AQ18" s="3">
        <v>947</v>
      </c>
      <c r="AR18" s="3">
        <v>847.50842496906262</v>
      </c>
      <c r="AS18" s="3">
        <v>778.15730499999995</v>
      </c>
      <c r="AT18" s="3">
        <v>675.6716231811979</v>
      </c>
      <c r="AU18" s="3">
        <v>622.19156282549704</v>
      </c>
      <c r="AV18" s="3">
        <v>820.47962764590841</v>
      </c>
      <c r="AW18" s="3">
        <v>639.40617834302043</v>
      </c>
      <c r="AX18" s="3">
        <v>597.51828999999998</v>
      </c>
      <c r="AY18" s="3">
        <v>561.27436</v>
      </c>
      <c r="AZ18" s="3">
        <v>371.04052614029644</v>
      </c>
      <c r="BA18" s="3">
        <v>296.04625726441668</v>
      </c>
      <c r="BB18" s="3">
        <v>275.65935766044913</v>
      </c>
      <c r="BC18" s="3">
        <v>356.92235435262131</v>
      </c>
      <c r="BD18" s="3">
        <v>213.82709330010465</v>
      </c>
      <c r="BE18" s="3">
        <v>110.28753218065977</v>
      </c>
      <c r="BF18" s="3">
        <v>73.136228059478952</v>
      </c>
      <c r="BG18" s="3">
        <v>45.333804119999996</v>
      </c>
      <c r="BH18" s="3">
        <v>34.735442999999997</v>
      </c>
      <c r="BI18" s="3">
        <v>40.812854999999999</v>
      </c>
      <c r="BJ18" s="3">
        <v>32.1</v>
      </c>
    </row>
    <row r="19" spans="1:62" ht="15" customHeight="1" outlineLevel="1" x14ac:dyDescent="0.2">
      <c r="A19" s="56"/>
      <c r="B19" s="11" t="s">
        <v>45</v>
      </c>
      <c r="C19" s="25">
        <v>432</v>
      </c>
      <c r="D19" s="25">
        <v>379</v>
      </c>
      <c r="E19" s="25">
        <v>296</v>
      </c>
      <c r="F19" s="25">
        <v>655</v>
      </c>
      <c r="G19" s="25">
        <v>616</v>
      </c>
      <c r="H19" s="25">
        <v>551</v>
      </c>
      <c r="I19" s="25">
        <v>657</v>
      </c>
      <c r="J19" s="25">
        <v>699</v>
      </c>
      <c r="K19" s="25">
        <v>623</v>
      </c>
      <c r="L19" s="25">
        <v>722</v>
      </c>
      <c r="M19" s="3">
        <v>921</v>
      </c>
      <c r="N19" s="3">
        <v>857</v>
      </c>
      <c r="O19" s="3">
        <v>705</v>
      </c>
      <c r="P19" s="3">
        <v>1079</v>
      </c>
      <c r="Q19" s="3">
        <v>1072</v>
      </c>
      <c r="R19" s="3">
        <v>869</v>
      </c>
      <c r="S19" s="3">
        <v>1042</v>
      </c>
      <c r="T19" s="3">
        <v>933</v>
      </c>
      <c r="U19" s="3">
        <v>758</v>
      </c>
      <c r="V19" s="3">
        <v>642</v>
      </c>
      <c r="W19" s="3">
        <v>578</v>
      </c>
      <c r="X19" s="3">
        <v>1610</v>
      </c>
      <c r="Y19" s="3">
        <v>1415</v>
      </c>
      <c r="Z19" s="3">
        <v>1453</v>
      </c>
      <c r="AA19" s="3">
        <v>1264</v>
      </c>
      <c r="AB19" s="3">
        <v>1169</v>
      </c>
      <c r="AC19" s="3">
        <v>1107</v>
      </c>
      <c r="AD19" s="3">
        <v>966</v>
      </c>
      <c r="AE19" s="3">
        <v>841</v>
      </c>
      <c r="AF19" s="3">
        <v>693</v>
      </c>
      <c r="AG19" s="3">
        <v>989</v>
      </c>
      <c r="AH19" s="3">
        <v>418</v>
      </c>
      <c r="AI19" s="3">
        <v>292</v>
      </c>
      <c r="AJ19" s="3">
        <v>190</v>
      </c>
      <c r="AK19" s="3">
        <v>373</v>
      </c>
      <c r="AL19" s="3">
        <v>279</v>
      </c>
      <c r="AM19" s="3">
        <v>311</v>
      </c>
      <c r="AN19" s="3">
        <v>593.88672799999995</v>
      </c>
      <c r="AO19" s="3">
        <v>607</v>
      </c>
      <c r="AP19" s="3">
        <v>537</v>
      </c>
      <c r="AQ19" s="3">
        <v>666</v>
      </c>
      <c r="AR19" s="3">
        <v>572.55498347349237</v>
      </c>
      <c r="AS19" s="3">
        <v>542.490455</v>
      </c>
      <c r="AT19" s="3">
        <v>496.72291507126914</v>
      </c>
      <c r="AU19" s="3">
        <v>614.91473310345975</v>
      </c>
      <c r="AV19" s="3">
        <v>587.4519738773264</v>
      </c>
      <c r="AW19" s="3">
        <v>485.36957643639181</v>
      </c>
      <c r="AX19" s="3">
        <v>552.64260717513469</v>
      </c>
      <c r="AY19" s="3">
        <v>505.36905000000002</v>
      </c>
      <c r="AZ19" s="3">
        <v>651.70246856229028</v>
      </c>
      <c r="BA19" s="3">
        <v>750.18627897450574</v>
      </c>
      <c r="BB19" s="3">
        <v>674.80535583793539</v>
      </c>
      <c r="BC19" s="3">
        <v>603.03281360021731</v>
      </c>
      <c r="BD19" s="3">
        <v>564.73110276028569</v>
      </c>
      <c r="BE19" s="3">
        <v>813.23406725842483</v>
      </c>
      <c r="BF19" s="3">
        <v>860.37586859970452</v>
      </c>
      <c r="BG19" s="3">
        <v>917.76781719339169</v>
      </c>
      <c r="BH19" s="3">
        <v>753.97043199999996</v>
      </c>
      <c r="BI19" s="3">
        <v>785.91535199999998</v>
      </c>
      <c r="BJ19" s="3">
        <v>775.7</v>
      </c>
    </row>
    <row r="20" spans="1:62" ht="15" customHeight="1" outlineLevel="1" x14ac:dyDescent="0.2">
      <c r="A20" s="56"/>
      <c r="B20" s="11" t="s">
        <v>46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25">
        <v>235</v>
      </c>
      <c r="K20" s="25">
        <v>235</v>
      </c>
      <c r="L20" s="25">
        <v>230</v>
      </c>
      <c r="M20" s="3">
        <v>229</v>
      </c>
      <c r="N20" s="3">
        <v>240</v>
      </c>
      <c r="O20" s="3">
        <v>237</v>
      </c>
      <c r="P20" s="3">
        <v>215</v>
      </c>
      <c r="Q20" s="3">
        <v>214</v>
      </c>
      <c r="R20" s="3">
        <v>192</v>
      </c>
      <c r="S20" s="3">
        <v>179</v>
      </c>
      <c r="T20" s="3">
        <v>168</v>
      </c>
      <c r="U20" s="3">
        <v>700</v>
      </c>
      <c r="V20" s="3">
        <v>641</v>
      </c>
      <c r="W20" s="3">
        <v>496</v>
      </c>
      <c r="X20" s="3">
        <v>514</v>
      </c>
      <c r="Y20" s="3">
        <v>405</v>
      </c>
      <c r="Z20" s="3">
        <v>338</v>
      </c>
      <c r="AA20" s="3">
        <v>237</v>
      </c>
      <c r="AB20" s="3">
        <v>161</v>
      </c>
      <c r="AC20" s="3">
        <v>106</v>
      </c>
      <c r="AD20" s="3">
        <v>49</v>
      </c>
      <c r="AE20" s="3">
        <v>43</v>
      </c>
      <c r="AF20" s="3">
        <v>43</v>
      </c>
      <c r="AG20" s="3">
        <v>44</v>
      </c>
      <c r="AH20" s="3">
        <v>45</v>
      </c>
      <c r="AI20" s="3">
        <v>145</v>
      </c>
      <c r="AJ20" s="3">
        <v>105</v>
      </c>
      <c r="AK20" s="3">
        <v>276</v>
      </c>
      <c r="AL20" s="3">
        <v>304</v>
      </c>
      <c r="AM20" s="3">
        <v>284</v>
      </c>
      <c r="AN20" s="3">
        <v>301.37113099999999</v>
      </c>
      <c r="AO20" s="3">
        <v>314</v>
      </c>
      <c r="AP20" s="3">
        <v>293</v>
      </c>
      <c r="AQ20" s="3">
        <v>269</v>
      </c>
      <c r="AR20" s="3">
        <v>290.56916673822218</v>
      </c>
      <c r="AS20" s="3">
        <v>259.834585</v>
      </c>
      <c r="AT20" s="3">
        <v>224.81926763870752</v>
      </c>
      <c r="AU20" s="3">
        <v>193.98075243735667</v>
      </c>
      <c r="AV20" s="3">
        <v>134.1679828240531</v>
      </c>
      <c r="AW20" s="3">
        <v>118.63252250014645</v>
      </c>
      <c r="AX20" s="3">
        <v>110.734025</v>
      </c>
      <c r="AY20" s="3">
        <v>89.112222000000003</v>
      </c>
      <c r="AZ20" s="3">
        <v>41.602242424793154</v>
      </c>
      <c r="BA20" s="3">
        <v>288.28967753849486</v>
      </c>
      <c r="BB20" s="3">
        <v>278.38461692883322</v>
      </c>
      <c r="BC20" s="3">
        <v>269.28537852257131</v>
      </c>
      <c r="BD20" s="3">
        <v>243.77511532701402</v>
      </c>
      <c r="BE20" s="3">
        <v>225.82733857211434</v>
      </c>
      <c r="BF20" s="3">
        <v>198.13266535849141</v>
      </c>
      <c r="BG20" s="3">
        <v>172.83071649999999</v>
      </c>
      <c r="BH20" s="3">
        <v>163.26010099999999</v>
      </c>
      <c r="BI20" s="3">
        <v>155.32173499999999</v>
      </c>
      <c r="BJ20" s="3">
        <v>220.1</v>
      </c>
    </row>
    <row r="21" spans="1:62" ht="15" customHeight="1" outlineLevel="1" x14ac:dyDescent="0.2">
      <c r="A21" s="56"/>
      <c r="B21" s="11" t="s">
        <v>230</v>
      </c>
      <c r="C21" s="3" t="s">
        <v>153</v>
      </c>
      <c r="D21" s="3" t="s">
        <v>153</v>
      </c>
      <c r="E21" s="3" t="s">
        <v>153</v>
      </c>
      <c r="F21" s="3" t="s">
        <v>153</v>
      </c>
      <c r="G21" s="3" t="s">
        <v>153</v>
      </c>
      <c r="H21" s="3" t="s">
        <v>153</v>
      </c>
      <c r="I21" s="3" t="s">
        <v>153</v>
      </c>
      <c r="J21" s="3" t="s">
        <v>153</v>
      </c>
      <c r="K21" s="3" t="s">
        <v>153</v>
      </c>
      <c r="L21" s="3" t="s">
        <v>153</v>
      </c>
      <c r="M21" s="3" t="s">
        <v>153</v>
      </c>
      <c r="N21" s="3" t="s">
        <v>153</v>
      </c>
      <c r="O21" s="3" t="s">
        <v>153</v>
      </c>
      <c r="P21" s="3" t="s">
        <v>153</v>
      </c>
      <c r="Q21" s="3" t="s">
        <v>153</v>
      </c>
      <c r="R21" s="3" t="s">
        <v>153</v>
      </c>
      <c r="S21" s="3" t="s">
        <v>153</v>
      </c>
      <c r="T21" s="3" t="s">
        <v>153</v>
      </c>
      <c r="U21" s="3" t="s">
        <v>153</v>
      </c>
      <c r="V21" s="3" t="s">
        <v>153</v>
      </c>
      <c r="W21" s="3" t="s">
        <v>153</v>
      </c>
      <c r="X21" s="3" t="s">
        <v>153</v>
      </c>
      <c r="Y21" s="3" t="s">
        <v>153</v>
      </c>
      <c r="Z21" s="3" t="s">
        <v>153</v>
      </c>
      <c r="AA21" s="3" t="s">
        <v>153</v>
      </c>
      <c r="AB21" s="3" t="s">
        <v>153</v>
      </c>
      <c r="AC21" s="3" t="s">
        <v>153</v>
      </c>
      <c r="AD21" s="3" t="s">
        <v>153</v>
      </c>
      <c r="AE21" s="3" t="s">
        <v>153</v>
      </c>
      <c r="AF21" s="3" t="s">
        <v>153</v>
      </c>
      <c r="AG21" s="3" t="s">
        <v>153</v>
      </c>
      <c r="AH21" s="3" t="s">
        <v>153</v>
      </c>
      <c r="AI21" s="3" t="s">
        <v>153</v>
      </c>
      <c r="AJ21" s="3" t="s">
        <v>153</v>
      </c>
      <c r="AK21" s="3" t="s">
        <v>153</v>
      </c>
      <c r="AL21" s="3" t="s">
        <v>153</v>
      </c>
      <c r="AM21" s="3" t="s">
        <v>153</v>
      </c>
      <c r="AN21" s="3" t="s">
        <v>153</v>
      </c>
      <c r="AO21" s="3" t="s">
        <v>153</v>
      </c>
      <c r="AP21" s="3" t="s">
        <v>153</v>
      </c>
      <c r="AQ21" s="3" t="s">
        <v>153</v>
      </c>
      <c r="AR21" s="3" t="s">
        <v>153</v>
      </c>
      <c r="AS21" s="3" t="s">
        <v>153</v>
      </c>
      <c r="AT21" s="3" t="s">
        <v>153</v>
      </c>
      <c r="AU21" s="3" t="s">
        <v>153</v>
      </c>
      <c r="AV21" s="3" t="s">
        <v>153</v>
      </c>
      <c r="AW21" s="3" t="s">
        <v>153</v>
      </c>
      <c r="AX21" s="3" t="s">
        <v>153</v>
      </c>
      <c r="AY21" s="3" t="s">
        <v>153</v>
      </c>
      <c r="AZ21" s="3" t="s">
        <v>153</v>
      </c>
      <c r="BA21" s="3" t="s">
        <v>153</v>
      </c>
      <c r="BB21" s="3" t="s">
        <v>153</v>
      </c>
      <c r="BC21" s="3" t="s">
        <v>153</v>
      </c>
      <c r="BD21" s="3" t="s">
        <v>153</v>
      </c>
      <c r="BE21" s="3">
        <v>16.828175512437767</v>
      </c>
      <c r="BF21" s="3">
        <v>9.9213857586634688</v>
      </c>
      <c r="BG21" s="3">
        <v>7.4442620000000002</v>
      </c>
      <c r="BH21" s="3">
        <v>2.8237920000000001</v>
      </c>
      <c r="BI21" s="3">
        <v>1.319623</v>
      </c>
      <c r="BJ21" s="3">
        <v>0.6</v>
      </c>
    </row>
    <row r="22" spans="1:62" ht="15" customHeight="1" outlineLevel="1" x14ac:dyDescent="0.2">
      <c r="A22" s="56"/>
      <c r="B22" s="11" t="s">
        <v>231</v>
      </c>
      <c r="C22" s="3" t="s">
        <v>153</v>
      </c>
      <c r="D22" s="3" t="s">
        <v>153</v>
      </c>
      <c r="E22" s="3" t="s">
        <v>153</v>
      </c>
      <c r="F22" s="3" t="s">
        <v>153</v>
      </c>
      <c r="G22" s="3" t="s">
        <v>153</v>
      </c>
      <c r="H22" s="3" t="s">
        <v>153</v>
      </c>
      <c r="I22" s="3" t="s">
        <v>153</v>
      </c>
      <c r="J22" s="3" t="s">
        <v>153</v>
      </c>
      <c r="K22" s="3" t="s">
        <v>153</v>
      </c>
      <c r="L22" s="3" t="s">
        <v>153</v>
      </c>
      <c r="M22" s="3" t="s">
        <v>153</v>
      </c>
      <c r="N22" s="3" t="s">
        <v>153</v>
      </c>
      <c r="O22" s="3" t="s">
        <v>153</v>
      </c>
      <c r="P22" s="3" t="s">
        <v>153</v>
      </c>
      <c r="Q22" s="3" t="s">
        <v>153</v>
      </c>
      <c r="R22" s="3" t="s">
        <v>153</v>
      </c>
      <c r="S22" s="3" t="s">
        <v>153</v>
      </c>
      <c r="T22" s="3" t="s">
        <v>153</v>
      </c>
      <c r="U22" s="3" t="s">
        <v>153</v>
      </c>
      <c r="V22" s="3" t="s">
        <v>153</v>
      </c>
      <c r="W22" s="3" t="s">
        <v>153</v>
      </c>
      <c r="X22" s="3" t="s">
        <v>153</v>
      </c>
      <c r="Y22" s="3" t="s">
        <v>153</v>
      </c>
      <c r="Z22" s="3" t="s">
        <v>153</v>
      </c>
      <c r="AA22" s="3" t="s">
        <v>153</v>
      </c>
      <c r="AB22" s="3" t="s">
        <v>153</v>
      </c>
      <c r="AC22" s="3" t="s">
        <v>153</v>
      </c>
      <c r="AD22" s="3" t="s">
        <v>153</v>
      </c>
      <c r="AE22" s="3" t="s">
        <v>153</v>
      </c>
      <c r="AF22" s="3" t="s">
        <v>153</v>
      </c>
      <c r="AG22" s="3" t="s">
        <v>153</v>
      </c>
      <c r="AH22" s="3" t="s">
        <v>153</v>
      </c>
      <c r="AI22" s="3" t="s">
        <v>153</v>
      </c>
      <c r="AJ22" s="3" t="s">
        <v>153</v>
      </c>
      <c r="AK22" s="3" t="s">
        <v>153</v>
      </c>
      <c r="AL22" s="3" t="s">
        <v>153</v>
      </c>
      <c r="AM22" s="3" t="s">
        <v>153</v>
      </c>
      <c r="AN22" s="3" t="s">
        <v>153</v>
      </c>
      <c r="AO22" s="3" t="s">
        <v>153</v>
      </c>
      <c r="AP22" s="3" t="s">
        <v>153</v>
      </c>
      <c r="AQ22" s="3" t="s">
        <v>153</v>
      </c>
      <c r="AR22" s="3" t="s">
        <v>153</v>
      </c>
      <c r="AS22" s="3" t="s">
        <v>153</v>
      </c>
      <c r="AT22" s="3" t="s">
        <v>153</v>
      </c>
      <c r="AU22" s="3" t="s">
        <v>153</v>
      </c>
      <c r="AV22" s="3" t="s">
        <v>153</v>
      </c>
      <c r="AW22" s="3" t="s">
        <v>153</v>
      </c>
      <c r="AX22" s="3" t="s">
        <v>153</v>
      </c>
      <c r="AY22" s="3" t="s">
        <v>153</v>
      </c>
      <c r="AZ22" s="3" t="s">
        <v>153</v>
      </c>
      <c r="BA22" s="3" t="s">
        <v>153</v>
      </c>
      <c r="BB22" s="3" t="s">
        <v>153</v>
      </c>
      <c r="BC22" s="3" t="s">
        <v>153</v>
      </c>
      <c r="BD22" s="3" t="s">
        <v>153</v>
      </c>
      <c r="BE22" s="3">
        <v>66.932307833112773</v>
      </c>
      <c r="BF22" s="3">
        <v>61.827114776818178</v>
      </c>
      <c r="BG22" s="3">
        <v>60.111778000000001</v>
      </c>
      <c r="BH22" s="3">
        <v>0.95017300000000005</v>
      </c>
      <c r="BI22" s="3">
        <v>3.3986239999999999</v>
      </c>
      <c r="BJ22" s="3">
        <v>0.4</v>
      </c>
    </row>
    <row r="23" spans="1:62" ht="15" customHeight="1" outlineLevel="1" x14ac:dyDescent="0.2">
      <c r="A23" s="56"/>
      <c r="B23" s="11" t="s">
        <v>232</v>
      </c>
      <c r="C23" s="3" t="s">
        <v>153</v>
      </c>
      <c r="D23" s="3" t="s">
        <v>153</v>
      </c>
      <c r="E23" s="3" t="s">
        <v>153</v>
      </c>
      <c r="F23" s="3" t="s">
        <v>153</v>
      </c>
      <c r="G23" s="3" t="s">
        <v>153</v>
      </c>
      <c r="H23" s="3" t="s">
        <v>153</v>
      </c>
      <c r="I23" s="3" t="s">
        <v>153</v>
      </c>
      <c r="J23" s="3" t="s">
        <v>153</v>
      </c>
      <c r="K23" s="3" t="s">
        <v>153</v>
      </c>
      <c r="L23" s="3" t="s">
        <v>153</v>
      </c>
      <c r="M23" s="3" t="s">
        <v>153</v>
      </c>
      <c r="N23" s="3" t="s">
        <v>153</v>
      </c>
      <c r="O23" s="3" t="s">
        <v>153</v>
      </c>
      <c r="P23" s="3" t="s">
        <v>153</v>
      </c>
      <c r="Q23" s="3" t="s">
        <v>153</v>
      </c>
      <c r="R23" s="3" t="s">
        <v>153</v>
      </c>
      <c r="S23" s="3" t="s">
        <v>153</v>
      </c>
      <c r="T23" s="3" t="s">
        <v>153</v>
      </c>
      <c r="U23" s="3" t="s">
        <v>153</v>
      </c>
      <c r="V23" s="3" t="s">
        <v>153</v>
      </c>
      <c r="W23" s="3" t="s">
        <v>153</v>
      </c>
      <c r="X23" s="3" t="s">
        <v>153</v>
      </c>
      <c r="Y23" s="3" t="s">
        <v>153</v>
      </c>
      <c r="Z23" s="3" t="s">
        <v>153</v>
      </c>
      <c r="AA23" s="3" t="s">
        <v>153</v>
      </c>
      <c r="AB23" s="3" t="s">
        <v>153</v>
      </c>
      <c r="AC23" s="3" t="s">
        <v>153</v>
      </c>
      <c r="AD23" s="3" t="s">
        <v>153</v>
      </c>
      <c r="AE23" s="3" t="s">
        <v>153</v>
      </c>
      <c r="AF23" s="3" t="s">
        <v>153</v>
      </c>
      <c r="AG23" s="3" t="s">
        <v>153</v>
      </c>
      <c r="AH23" s="3" t="s">
        <v>153</v>
      </c>
      <c r="AI23" s="3" t="s">
        <v>153</v>
      </c>
      <c r="AJ23" s="3" t="s">
        <v>153</v>
      </c>
      <c r="AK23" s="3" t="s">
        <v>153</v>
      </c>
      <c r="AL23" s="3" t="s">
        <v>153</v>
      </c>
      <c r="AM23" s="3" t="s">
        <v>153</v>
      </c>
      <c r="AN23" s="3" t="s">
        <v>153</v>
      </c>
      <c r="AO23" s="3" t="s">
        <v>153</v>
      </c>
      <c r="AP23" s="3" t="s">
        <v>153</v>
      </c>
      <c r="AQ23" s="3" t="s">
        <v>153</v>
      </c>
      <c r="AR23" s="3" t="s">
        <v>153</v>
      </c>
      <c r="AS23" s="3" t="s">
        <v>153</v>
      </c>
      <c r="AT23" s="3" t="s">
        <v>153</v>
      </c>
      <c r="AU23" s="3" t="s">
        <v>153</v>
      </c>
      <c r="AV23" s="3" t="s">
        <v>153</v>
      </c>
      <c r="AW23" s="3" t="s">
        <v>153</v>
      </c>
      <c r="AX23" s="3" t="s">
        <v>153</v>
      </c>
      <c r="AY23" s="3" t="s">
        <v>153</v>
      </c>
      <c r="AZ23" s="3" t="s">
        <v>153</v>
      </c>
      <c r="BA23" s="3" t="s">
        <v>153</v>
      </c>
      <c r="BB23" s="3" t="s">
        <v>153</v>
      </c>
      <c r="BC23" s="3" t="s">
        <v>153</v>
      </c>
      <c r="BD23" s="3" t="s">
        <v>153</v>
      </c>
      <c r="BE23" s="3">
        <v>0</v>
      </c>
      <c r="BF23" s="3">
        <v>44.058237112476661</v>
      </c>
      <c r="BG23" s="3">
        <v>44.695517835085795</v>
      </c>
      <c r="BH23" s="3">
        <v>83.112616000000003</v>
      </c>
      <c r="BI23" s="3">
        <v>86.198666000000003</v>
      </c>
      <c r="BJ23" s="3">
        <v>93.3</v>
      </c>
    </row>
    <row r="24" spans="1:62" ht="15" customHeight="1" outlineLevel="1" x14ac:dyDescent="0.2">
      <c r="A24" s="56"/>
      <c r="B24" s="11" t="s">
        <v>64</v>
      </c>
      <c r="C24" s="3">
        <v>0</v>
      </c>
      <c r="D24" s="3">
        <v>0</v>
      </c>
      <c r="E24" s="25">
        <v>7</v>
      </c>
      <c r="F24" s="25">
        <v>7</v>
      </c>
      <c r="G24" s="25">
        <v>6</v>
      </c>
      <c r="H24" s="25">
        <v>3</v>
      </c>
      <c r="I24" s="25">
        <v>4</v>
      </c>
      <c r="J24" s="25">
        <v>7</v>
      </c>
      <c r="K24" s="25">
        <v>7</v>
      </c>
      <c r="L24" s="25">
        <v>9</v>
      </c>
      <c r="M24" s="3">
        <v>17</v>
      </c>
      <c r="N24" s="3">
        <v>19</v>
      </c>
      <c r="O24" s="3">
        <v>29</v>
      </c>
      <c r="P24" s="3">
        <v>21</v>
      </c>
      <c r="Q24" s="3">
        <v>4</v>
      </c>
      <c r="R24" s="3">
        <v>2</v>
      </c>
      <c r="S24" s="3">
        <v>17</v>
      </c>
      <c r="T24" s="3">
        <v>12</v>
      </c>
      <c r="U24" s="3">
        <v>7</v>
      </c>
      <c r="V24" s="3">
        <v>0</v>
      </c>
      <c r="W24" s="3">
        <v>13</v>
      </c>
      <c r="X24" s="3">
        <v>40</v>
      </c>
      <c r="Y24" s="3">
        <v>40</v>
      </c>
      <c r="Z24" s="3">
        <v>29</v>
      </c>
      <c r="AA24" s="3">
        <v>41</v>
      </c>
      <c r="AB24" s="3">
        <v>25</v>
      </c>
      <c r="AC24" s="3">
        <v>26</v>
      </c>
      <c r="AD24" s="3">
        <v>21</v>
      </c>
      <c r="AE24" s="3">
        <v>14</v>
      </c>
      <c r="AF24" s="3">
        <v>8</v>
      </c>
      <c r="AG24" s="3">
        <v>1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</row>
    <row r="25" spans="1:62" ht="15" customHeight="1" outlineLevel="1" x14ac:dyDescent="0.2">
      <c r="A25" s="56"/>
      <c r="B25" s="11" t="s">
        <v>133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26</v>
      </c>
      <c r="R25" s="3">
        <v>24</v>
      </c>
      <c r="S25" s="3">
        <v>14</v>
      </c>
      <c r="T25" s="3">
        <v>11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</row>
    <row r="26" spans="1:62" ht="15" customHeight="1" outlineLevel="1" x14ac:dyDescent="0.2">
      <c r="A26" s="56"/>
      <c r="B26" s="11" t="s">
        <v>135</v>
      </c>
      <c r="C26" s="25">
        <v>66</v>
      </c>
      <c r="D26" s="25">
        <v>55</v>
      </c>
      <c r="E26" s="25">
        <v>48</v>
      </c>
      <c r="F26" s="25">
        <v>40</v>
      </c>
      <c r="G26" s="25">
        <v>38</v>
      </c>
      <c r="H26" s="25">
        <v>21</v>
      </c>
      <c r="I26" s="25">
        <v>17</v>
      </c>
      <c r="J26" s="25">
        <v>25</v>
      </c>
      <c r="K26" s="25">
        <v>21</v>
      </c>
      <c r="L26" s="25">
        <v>17</v>
      </c>
      <c r="M26" s="3">
        <v>14</v>
      </c>
      <c r="N26" s="3">
        <v>12</v>
      </c>
      <c r="O26" s="3">
        <v>7</v>
      </c>
      <c r="P26" s="3">
        <v>7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</row>
    <row r="27" spans="1:62" ht="15" customHeight="1" outlineLevel="1" x14ac:dyDescent="0.2">
      <c r="A27" s="56"/>
      <c r="B27" s="17" t="s">
        <v>134</v>
      </c>
      <c r="C27" s="27">
        <v>17</v>
      </c>
      <c r="D27" s="27">
        <v>16</v>
      </c>
      <c r="E27" s="27">
        <v>10</v>
      </c>
      <c r="F27" s="27">
        <v>12</v>
      </c>
      <c r="G27" s="27">
        <v>102</v>
      </c>
      <c r="H27" s="27">
        <v>97</v>
      </c>
      <c r="I27" s="27">
        <v>88</v>
      </c>
      <c r="J27" s="27">
        <v>84</v>
      </c>
      <c r="K27" s="27">
        <v>74</v>
      </c>
      <c r="L27" s="27">
        <v>56</v>
      </c>
      <c r="M27" s="18">
        <v>47</v>
      </c>
      <c r="N27" s="18">
        <v>37</v>
      </c>
      <c r="O27" s="18">
        <v>36</v>
      </c>
      <c r="P27" s="18">
        <v>26</v>
      </c>
      <c r="Q27" s="18">
        <v>18</v>
      </c>
      <c r="R27" s="18">
        <v>12</v>
      </c>
      <c r="S27" s="18">
        <v>7</v>
      </c>
      <c r="T27" s="18">
        <v>4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</row>
    <row r="28" spans="1:62" ht="14.1" customHeight="1" outlineLevel="1" x14ac:dyDescent="0.2">
      <c r="A28" s="56"/>
      <c r="B28" s="5" t="s">
        <v>242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</row>
    <row r="29" spans="1:62" ht="15" customHeight="1" outlineLevel="1" x14ac:dyDescent="0.2">
      <c r="A29" s="56"/>
      <c r="B29" s="16" t="s">
        <v>178</v>
      </c>
      <c r="C29" s="21">
        <f t="shared" ref="C29:BI29" si="1">+SUM(C30,C34)</f>
        <v>189.71299999999999</v>
      </c>
      <c r="D29" s="21">
        <f t="shared" si="1"/>
        <v>292.94099999999997</v>
      </c>
      <c r="E29" s="21">
        <f t="shared" si="1"/>
        <v>548.07899999999995</v>
      </c>
      <c r="F29" s="21">
        <f t="shared" si="1"/>
        <v>252.2</v>
      </c>
      <c r="G29" s="21">
        <f t="shared" si="1"/>
        <v>405.375</v>
      </c>
      <c r="H29" s="21">
        <f t="shared" si="1"/>
        <v>373.755</v>
      </c>
      <c r="I29" s="21">
        <f t="shared" si="1"/>
        <v>661.56600000000003</v>
      </c>
      <c r="J29" s="21">
        <f t="shared" si="1"/>
        <v>329.46</v>
      </c>
      <c r="K29" s="21">
        <f t="shared" si="1"/>
        <v>353.27499999999998</v>
      </c>
      <c r="L29" s="21">
        <f t="shared" si="1"/>
        <v>398.7</v>
      </c>
      <c r="M29" s="21">
        <f t="shared" si="1"/>
        <v>604.26</v>
      </c>
      <c r="N29" s="21">
        <f t="shared" si="1"/>
        <v>342.8</v>
      </c>
      <c r="O29" s="21">
        <f t="shared" si="1"/>
        <v>284.35000000000002</v>
      </c>
      <c r="P29" s="21">
        <f t="shared" si="1"/>
        <v>268.05099999999999</v>
      </c>
      <c r="Q29" s="21">
        <f t="shared" si="1"/>
        <v>592.15</v>
      </c>
      <c r="R29" s="21">
        <f t="shared" si="1"/>
        <v>382.875</v>
      </c>
      <c r="S29" s="21">
        <f t="shared" si="1"/>
        <v>267.25</v>
      </c>
      <c r="T29" s="21">
        <f t="shared" si="1"/>
        <v>386</v>
      </c>
      <c r="U29" s="21">
        <f t="shared" si="1"/>
        <v>582.25</v>
      </c>
      <c r="V29" s="21">
        <f t="shared" si="1"/>
        <v>324.77499999999998</v>
      </c>
      <c r="W29" s="21">
        <f t="shared" si="1"/>
        <v>293.57499999999999</v>
      </c>
      <c r="X29" s="21">
        <f t="shared" si="1"/>
        <v>434.15</v>
      </c>
      <c r="Y29" s="21">
        <f t="shared" si="1"/>
        <v>599.97199999999998</v>
      </c>
      <c r="Z29" s="21">
        <f t="shared" si="1"/>
        <v>350.27499999999998</v>
      </c>
      <c r="AA29" s="21">
        <f t="shared" si="1"/>
        <v>301.87200000000001</v>
      </c>
      <c r="AB29" s="21">
        <f t="shared" si="1"/>
        <v>455.495</v>
      </c>
      <c r="AC29" s="21">
        <f t="shared" si="1"/>
        <v>634.11500000000001</v>
      </c>
      <c r="AD29" s="21">
        <f t="shared" si="1"/>
        <v>375.09500000000003</v>
      </c>
      <c r="AE29" s="21">
        <f t="shared" si="1"/>
        <v>225.05</v>
      </c>
      <c r="AF29" s="21">
        <f t="shared" si="1"/>
        <v>272.7</v>
      </c>
      <c r="AG29" s="21">
        <f t="shared" si="1"/>
        <v>757</v>
      </c>
      <c r="AH29" s="21">
        <f t="shared" si="1"/>
        <v>347.08</v>
      </c>
      <c r="AI29" s="21">
        <f t="shared" si="1"/>
        <v>243</v>
      </c>
      <c r="AJ29" s="21">
        <f t="shared" si="1"/>
        <v>403.15</v>
      </c>
      <c r="AK29" s="21">
        <f t="shared" si="1"/>
        <v>615</v>
      </c>
      <c r="AL29" s="21">
        <f t="shared" si="1"/>
        <v>464</v>
      </c>
      <c r="AM29" s="21">
        <f t="shared" si="1"/>
        <v>418</v>
      </c>
      <c r="AN29" s="21">
        <f t="shared" si="1"/>
        <v>450</v>
      </c>
      <c r="AO29" s="21">
        <f t="shared" si="1"/>
        <v>621</v>
      </c>
      <c r="AP29" s="21">
        <f t="shared" si="1"/>
        <v>460</v>
      </c>
      <c r="AQ29" s="21">
        <f t="shared" si="1"/>
        <v>351</v>
      </c>
      <c r="AR29" s="21">
        <f t="shared" si="1"/>
        <v>404</v>
      </c>
      <c r="AS29" s="21">
        <f t="shared" si="1"/>
        <v>755</v>
      </c>
      <c r="AT29" s="21">
        <f t="shared" si="1"/>
        <v>529</v>
      </c>
      <c r="AU29" s="21">
        <f t="shared" si="1"/>
        <v>350</v>
      </c>
      <c r="AV29" s="21">
        <f t="shared" si="1"/>
        <v>500</v>
      </c>
      <c r="AW29" s="21">
        <f t="shared" si="1"/>
        <v>706</v>
      </c>
      <c r="AX29" s="21">
        <f t="shared" si="1"/>
        <v>381</v>
      </c>
      <c r="AY29" s="21">
        <f t="shared" si="1"/>
        <v>553</v>
      </c>
      <c r="AZ29" s="21">
        <f t="shared" si="1"/>
        <v>540</v>
      </c>
      <c r="BA29" s="21">
        <f t="shared" si="1"/>
        <v>618</v>
      </c>
      <c r="BB29" s="21">
        <f t="shared" si="1"/>
        <v>512</v>
      </c>
      <c r="BC29" s="21">
        <f t="shared" si="1"/>
        <v>352</v>
      </c>
      <c r="BD29" s="21">
        <f t="shared" si="1"/>
        <v>529</v>
      </c>
      <c r="BE29" s="21">
        <f t="shared" si="1"/>
        <v>380</v>
      </c>
      <c r="BF29" s="21">
        <f t="shared" si="1"/>
        <v>431</v>
      </c>
      <c r="BG29" s="21">
        <f t="shared" si="1"/>
        <v>427</v>
      </c>
      <c r="BH29" s="21">
        <f t="shared" si="1"/>
        <v>430</v>
      </c>
      <c r="BI29" s="21">
        <f t="shared" si="1"/>
        <v>586</v>
      </c>
      <c r="BJ29" s="21">
        <f>+SUM(BJ30,BJ34)</f>
        <v>440</v>
      </c>
    </row>
    <row r="30" spans="1:62" ht="15" customHeight="1" outlineLevel="1" x14ac:dyDescent="0.2">
      <c r="A30" s="56"/>
      <c r="B30" s="2" t="s">
        <v>179</v>
      </c>
      <c r="C30" s="4">
        <f>SUM(C31:C33)</f>
        <v>184</v>
      </c>
      <c r="D30" s="4">
        <f t="shared" ref="D30:BJ30" si="2">SUM(D31:D33)</f>
        <v>291</v>
      </c>
      <c r="E30" s="4">
        <f t="shared" si="2"/>
        <v>545</v>
      </c>
      <c r="F30" s="4">
        <f t="shared" si="2"/>
        <v>252</v>
      </c>
      <c r="G30" s="4">
        <f t="shared" si="2"/>
        <v>405</v>
      </c>
      <c r="H30" s="4">
        <f t="shared" si="2"/>
        <v>371</v>
      </c>
      <c r="I30" s="4">
        <f t="shared" si="2"/>
        <v>646</v>
      </c>
      <c r="J30" s="4">
        <f t="shared" si="2"/>
        <v>321</v>
      </c>
      <c r="K30" s="4">
        <f t="shared" si="2"/>
        <v>343</v>
      </c>
      <c r="L30" s="4">
        <f t="shared" si="2"/>
        <v>397</v>
      </c>
      <c r="M30" s="4">
        <f t="shared" si="2"/>
        <v>589</v>
      </c>
      <c r="N30" s="4">
        <f t="shared" si="2"/>
        <v>332</v>
      </c>
      <c r="O30" s="4">
        <f t="shared" si="2"/>
        <v>284</v>
      </c>
      <c r="P30" s="4">
        <f t="shared" si="2"/>
        <v>267</v>
      </c>
      <c r="Q30" s="4">
        <f t="shared" si="2"/>
        <v>592</v>
      </c>
      <c r="R30" s="4">
        <f t="shared" si="2"/>
        <v>367</v>
      </c>
      <c r="S30" s="4">
        <f t="shared" si="2"/>
        <v>267</v>
      </c>
      <c r="T30" s="4">
        <f t="shared" si="2"/>
        <v>386</v>
      </c>
      <c r="U30" s="4">
        <f t="shared" si="2"/>
        <v>582</v>
      </c>
      <c r="V30" s="4">
        <f t="shared" si="2"/>
        <v>315</v>
      </c>
      <c r="W30" s="4">
        <f t="shared" si="2"/>
        <v>285</v>
      </c>
      <c r="X30" s="4">
        <f t="shared" si="2"/>
        <v>432</v>
      </c>
      <c r="Y30" s="4">
        <f t="shared" si="2"/>
        <v>588</v>
      </c>
      <c r="Z30" s="4">
        <f t="shared" si="2"/>
        <v>347</v>
      </c>
      <c r="AA30" s="4">
        <f t="shared" si="2"/>
        <v>296</v>
      </c>
      <c r="AB30" s="4">
        <f t="shared" si="2"/>
        <v>453</v>
      </c>
      <c r="AC30" s="4">
        <f t="shared" si="2"/>
        <v>634</v>
      </c>
      <c r="AD30" s="4">
        <f t="shared" si="2"/>
        <v>375</v>
      </c>
      <c r="AE30" s="4">
        <f t="shared" si="2"/>
        <v>220</v>
      </c>
      <c r="AF30" s="4">
        <f t="shared" si="2"/>
        <v>270</v>
      </c>
      <c r="AG30" s="4">
        <f t="shared" si="2"/>
        <v>757</v>
      </c>
      <c r="AH30" s="4">
        <f t="shared" si="2"/>
        <v>347</v>
      </c>
      <c r="AI30" s="4">
        <f t="shared" si="2"/>
        <v>243</v>
      </c>
      <c r="AJ30" s="4">
        <f t="shared" si="2"/>
        <v>402</v>
      </c>
      <c r="AK30" s="4">
        <f t="shared" si="2"/>
        <v>564</v>
      </c>
      <c r="AL30" s="4">
        <f t="shared" si="2"/>
        <v>385</v>
      </c>
      <c r="AM30" s="4">
        <f t="shared" si="2"/>
        <v>319</v>
      </c>
      <c r="AN30" s="4">
        <f t="shared" si="2"/>
        <v>405</v>
      </c>
      <c r="AO30" s="4">
        <f t="shared" si="2"/>
        <v>588</v>
      </c>
      <c r="AP30" s="4">
        <f t="shared" si="2"/>
        <v>390</v>
      </c>
      <c r="AQ30" s="4">
        <f t="shared" si="2"/>
        <v>220</v>
      </c>
      <c r="AR30" s="4">
        <f t="shared" si="2"/>
        <v>283</v>
      </c>
      <c r="AS30" s="4">
        <f t="shared" si="2"/>
        <v>661</v>
      </c>
      <c r="AT30" s="4">
        <f t="shared" si="2"/>
        <v>460</v>
      </c>
      <c r="AU30" s="4">
        <f t="shared" si="2"/>
        <v>240</v>
      </c>
      <c r="AV30" s="4">
        <f t="shared" si="2"/>
        <v>430</v>
      </c>
      <c r="AW30" s="4">
        <f t="shared" si="2"/>
        <v>620</v>
      </c>
      <c r="AX30" s="4">
        <f t="shared" si="2"/>
        <v>321</v>
      </c>
      <c r="AY30" s="4">
        <f t="shared" si="2"/>
        <v>366</v>
      </c>
      <c r="AZ30" s="4">
        <f t="shared" si="2"/>
        <v>418</v>
      </c>
      <c r="BA30" s="4">
        <f t="shared" si="2"/>
        <v>563</v>
      </c>
      <c r="BB30" s="4">
        <f t="shared" si="2"/>
        <v>388</v>
      </c>
      <c r="BC30" s="4">
        <f t="shared" si="2"/>
        <v>251</v>
      </c>
      <c r="BD30" s="4">
        <f t="shared" si="2"/>
        <v>427</v>
      </c>
      <c r="BE30" s="4">
        <f t="shared" si="2"/>
        <v>367</v>
      </c>
      <c r="BF30" s="4">
        <f t="shared" si="2"/>
        <v>344</v>
      </c>
      <c r="BG30" s="4">
        <f t="shared" si="2"/>
        <v>308</v>
      </c>
      <c r="BH30" s="4">
        <f t="shared" si="2"/>
        <v>382</v>
      </c>
      <c r="BI30" s="4">
        <f t="shared" si="2"/>
        <v>555</v>
      </c>
      <c r="BJ30" s="4">
        <f t="shared" si="2"/>
        <v>427</v>
      </c>
    </row>
    <row r="31" spans="1:62" ht="15" customHeight="1" outlineLevel="1" x14ac:dyDescent="0.2">
      <c r="A31" s="56"/>
      <c r="B31" s="22" t="s">
        <v>47</v>
      </c>
      <c r="C31" s="25">
        <v>175</v>
      </c>
      <c r="D31" s="25">
        <v>281</v>
      </c>
      <c r="E31" s="25">
        <v>503</v>
      </c>
      <c r="F31" s="25">
        <v>235</v>
      </c>
      <c r="G31" s="25">
        <v>388</v>
      </c>
      <c r="H31" s="25">
        <v>367</v>
      </c>
      <c r="I31" s="25">
        <v>563</v>
      </c>
      <c r="J31" s="25">
        <v>305</v>
      </c>
      <c r="K31" s="25">
        <v>325</v>
      </c>
      <c r="L31" s="25">
        <v>378</v>
      </c>
      <c r="M31" s="25">
        <v>563</v>
      </c>
      <c r="N31" s="25">
        <v>325</v>
      </c>
      <c r="O31" s="25">
        <v>262</v>
      </c>
      <c r="P31" s="25">
        <v>258</v>
      </c>
      <c r="Q31" s="25">
        <v>571</v>
      </c>
      <c r="R31" s="25">
        <v>351</v>
      </c>
      <c r="S31" s="25">
        <v>243</v>
      </c>
      <c r="T31" s="25">
        <v>376</v>
      </c>
      <c r="U31" s="25">
        <v>550</v>
      </c>
      <c r="V31" s="25">
        <v>307</v>
      </c>
      <c r="W31" s="25">
        <v>248</v>
      </c>
      <c r="X31" s="25">
        <v>418</v>
      </c>
      <c r="Y31" s="25">
        <v>517</v>
      </c>
      <c r="Z31" s="3">
        <v>342</v>
      </c>
      <c r="AA31" s="3">
        <v>252</v>
      </c>
      <c r="AB31" s="3">
        <v>431</v>
      </c>
      <c r="AC31" s="3">
        <v>592</v>
      </c>
      <c r="AD31" s="3">
        <v>369</v>
      </c>
      <c r="AE31" s="3">
        <v>214</v>
      </c>
      <c r="AF31" s="3">
        <v>267</v>
      </c>
      <c r="AG31" s="3">
        <v>710</v>
      </c>
      <c r="AH31" s="3">
        <v>334</v>
      </c>
      <c r="AI31" s="3">
        <v>235</v>
      </c>
      <c r="AJ31" s="3">
        <v>391</v>
      </c>
      <c r="AK31" s="3">
        <v>502</v>
      </c>
      <c r="AL31" s="3">
        <v>361</v>
      </c>
      <c r="AM31" s="3">
        <v>273</v>
      </c>
      <c r="AN31" s="25">
        <v>391</v>
      </c>
      <c r="AO31" s="25">
        <v>488</v>
      </c>
      <c r="AP31" s="25">
        <v>335</v>
      </c>
      <c r="AQ31" s="25">
        <v>196</v>
      </c>
      <c r="AR31" s="25">
        <v>254</v>
      </c>
      <c r="AS31" s="25">
        <v>527</v>
      </c>
      <c r="AT31" s="25">
        <v>390</v>
      </c>
      <c r="AU31" s="25">
        <v>231</v>
      </c>
      <c r="AV31" s="25">
        <v>375</v>
      </c>
      <c r="AW31" s="25">
        <v>537</v>
      </c>
      <c r="AX31" s="25">
        <v>303</v>
      </c>
      <c r="AY31" s="25">
        <v>313</v>
      </c>
      <c r="AZ31" s="25">
        <v>345</v>
      </c>
      <c r="BA31" s="25">
        <v>484</v>
      </c>
      <c r="BB31" s="25">
        <v>354</v>
      </c>
      <c r="BC31" s="25">
        <v>209</v>
      </c>
      <c r="BD31" s="25">
        <v>400</v>
      </c>
      <c r="BE31" s="25">
        <v>275</v>
      </c>
      <c r="BF31" s="25">
        <v>285</v>
      </c>
      <c r="BG31" s="25">
        <v>274</v>
      </c>
      <c r="BH31" s="25">
        <v>354</v>
      </c>
      <c r="BI31" s="25">
        <v>488</v>
      </c>
      <c r="BJ31" s="25">
        <v>368</v>
      </c>
    </row>
    <row r="32" spans="1:62" ht="15" customHeight="1" outlineLevel="1" x14ac:dyDescent="0.2">
      <c r="A32" s="56"/>
      <c r="B32" s="22" t="s">
        <v>48</v>
      </c>
      <c r="C32" s="25">
        <v>9</v>
      </c>
      <c r="D32" s="25">
        <v>10</v>
      </c>
      <c r="E32" s="25">
        <v>42</v>
      </c>
      <c r="F32" s="25">
        <v>17</v>
      </c>
      <c r="G32" s="25">
        <v>17</v>
      </c>
      <c r="H32" s="25">
        <v>4</v>
      </c>
      <c r="I32" s="25">
        <v>83</v>
      </c>
      <c r="J32" s="25">
        <v>16</v>
      </c>
      <c r="K32" s="25">
        <v>18</v>
      </c>
      <c r="L32" s="25">
        <v>19</v>
      </c>
      <c r="M32" s="25">
        <v>26</v>
      </c>
      <c r="N32" s="25">
        <v>7</v>
      </c>
      <c r="O32" s="25">
        <v>22</v>
      </c>
      <c r="P32" s="25">
        <v>9</v>
      </c>
      <c r="Q32" s="25">
        <v>21</v>
      </c>
      <c r="R32" s="25">
        <v>16</v>
      </c>
      <c r="S32" s="25">
        <v>24</v>
      </c>
      <c r="T32" s="25">
        <v>10</v>
      </c>
      <c r="U32" s="25">
        <v>32</v>
      </c>
      <c r="V32" s="25">
        <v>8</v>
      </c>
      <c r="W32" s="25">
        <v>37</v>
      </c>
      <c r="X32" s="25">
        <v>14</v>
      </c>
      <c r="Y32" s="25">
        <v>71</v>
      </c>
      <c r="Z32" s="3">
        <v>5</v>
      </c>
      <c r="AA32" s="3">
        <v>44</v>
      </c>
      <c r="AB32" s="3">
        <v>22</v>
      </c>
      <c r="AC32" s="3">
        <v>42</v>
      </c>
      <c r="AD32" s="3">
        <v>6</v>
      </c>
      <c r="AE32" s="3">
        <v>6</v>
      </c>
      <c r="AF32" s="3">
        <v>3</v>
      </c>
      <c r="AG32" s="3">
        <v>47</v>
      </c>
      <c r="AH32" s="3">
        <v>13</v>
      </c>
      <c r="AI32" s="3">
        <v>8</v>
      </c>
      <c r="AJ32" s="3">
        <v>11</v>
      </c>
      <c r="AK32" s="3">
        <v>62</v>
      </c>
      <c r="AL32" s="3">
        <v>24</v>
      </c>
      <c r="AM32" s="3">
        <v>46</v>
      </c>
      <c r="AN32" s="3">
        <v>14</v>
      </c>
      <c r="AO32" s="3">
        <v>100</v>
      </c>
      <c r="AP32" s="3">
        <v>55</v>
      </c>
      <c r="AQ32" s="3">
        <v>24</v>
      </c>
      <c r="AR32" s="3">
        <v>29</v>
      </c>
      <c r="AS32" s="3">
        <v>126</v>
      </c>
      <c r="AT32" s="3">
        <v>59</v>
      </c>
      <c r="AU32" s="3">
        <v>2</v>
      </c>
      <c r="AV32" s="25">
        <v>40</v>
      </c>
      <c r="AW32" s="25">
        <v>65</v>
      </c>
      <c r="AX32" s="25">
        <v>7</v>
      </c>
      <c r="AY32" s="25">
        <v>39</v>
      </c>
      <c r="AZ32" s="25">
        <v>58</v>
      </c>
      <c r="BA32" s="25">
        <v>49</v>
      </c>
      <c r="BB32" s="25">
        <v>14</v>
      </c>
      <c r="BC32" s="25">
        <v>19</v>
      </c>
      <c r="BD32" s="25">
        <v>7</v>
      </c>
      <c r="BE32" s="25">
        <v>85</v>
      </c>
      <c r="BF32" s="25">
        <v>43</v>
      </c>
      <c r="BG32" s="25">
        <v>17</v>
      </c>
      <c r="BH32" s="25">
        <v>17</v>
      </c>
      <c r="BI32" s="25">
        <v>52</v>
      </c>
      <c r="BJ32" s="25">
        <v>37</v>
      </c>
    </row>
    <row r="33" spans="1:62" ht="15" customHeight="1" outlineLevel="1" x14ac:dyDescent="0.2">
      <c r="A33" s="56"/>
      <c r="B33" s="22" t="s">
        <v>204</v>
      </c>
      <c r="C33" s="3" t="s">
        <v>153</v>
      </c>
      <c r="D33" s="3" t="s">
        <v>153</v>
      </c>
      <c r="E33" s="3" t="s">
        <v>153</v>
      </c>
      <c r="F33" s="3" t="s">
        <v>153</v>
      </c>
      <c r="G33" s="3" t="s">
        <v>153</v>
      </c>
      <c r="H33" s="3" t="s">
        <v>153</v>
      </c>
      <c r="I33" s="3" t="s">
        <v>153</v>
      </c>
      <c r="J33" s="3" t="s">
        <v>153</v>
      </c>
      <c r="K33" s="3" t="s">
        <v>153</v>
      </c>
      <c r="L33" s="3" t="s">
        <v>153</v>
      </c>
      <c r="M33" s="3" t="s">
        <v>153</v>
      </c>
      <c r="N33" s="3" t="s">
        <v>153</v>
      </c>
      <c r="O33" s="3" t="s">
        <v>153</v>
      </c>
      <c r="P33" s="3" t="s">
        <v>153</v>
      </c>
      <c r="Q33" s="3" t="s">
        <v>153</v>
      </c>
      <c r="R33" s="3" t="s">
        <v>153</v>
      </c>
      <c r="S33" s="3" t="s">
        <v>153</v>
      </c>
      <c r="T33" s="3" t="s">
        <v>153</v>
      </c>
      <c r="U33" s="3" t="s">
        <v>153</v>
      </c>
      <c r="V33" s="3" t="s">
        <v>153</v>
      </c>
      <c r="W33" s="3" t="s">
        <v>153</v>
      </c>
      <c r="X33" s="3" t="s">
        <v>153</v>
      </c>
      <c r="Y33" s="3" t="s">
        <v>153</v>
      </c>
      <c r="Z33" s="3" t="s">
        <v>153</v>
      </c>
      <c r="AA33" s="3" t="s">
        <v>153</v>
      </c>
      <c r="AB33" s="3" t="s">
        <v>153</v>
      </c>
      <c r="AC33" s="3" t="s">
        <v>153</v>
      </c>
      <c r="AD33" s="3" t="s">
        <v>153</v>
      </c>
      <c r="AE33" s="3" t="s">
        <v>153</v>
      </c>
      <c r="AF33" s="3" t="s">
        <v>153</v>
      </c>
      <c r="AG33" s="3" t="s">
        <v>153</v>
      </c>
      <c r="AH33" s="3" t="s">
        <v>153</v>
      </c>
      <c r="AI33" s="3" t="s">
        <v>153</v>
      </c>
      <c r="AJ33" s="3" t="s">
        <v>153</v>
      </c>
      <c r="AK33" s="3" t="s">
        <v>153</v>
      </c>
      <c r="AL33" s="3" t="s">
        <v>153</v>
      </c>
      <c r="AM33" s="3" t="s">
        <v>153</v>
      </c>
      <c r="AN33" s="3" t="s">
        <v>153</v>
      </c>
      <c r="AO33" s="3" t="s">
        <v>153</v>
      </c>
      <c r="AP33" s="3" t="s">
        <v>153</v>
      </c>
      <c r="AQ33" s="3" t="s">
        <v>153</v>
      </c>
      <c r="AR33" s="3" t="s">
        <v>153</v>
      </c>
      <c r="AS33" s="3">
        <v>8</v>
      </c>
      <c r="AT33" s="3">
        <v>11</v>
      </c>
      <c r="AU33" s="3">
        <v>7</v>
      </c>
      <c r="AV33" s="25">
        <v>15</v>
      </c>
      <c r="AW33" s="25">
        <v>18</v>
      </c>
      <c r="AX33" s="25">
        <v>11</v>
      </c>
      <c r="AY33" s="25">
        <v>14</v>
      </c>
      <c r="AZ33" s="25">
        <v>15</v>
      </c>
      <c r="BA33" s="25">
        <v>30</v>
      </c>
      <c r="BB33" s="25">
        <v>20</v>
      </c>
      <c r="BC33" s="25">
        <v>23</v>
      </c>
      <c r="BD33" s="25">
        <v>20</v>
      </c>
      <c r="BE33" s="25">
        <v>7</v>
      </c>
      <c r="BF33" s="25">
        <v>16</v>
      </c>
      <c r="BG33" s="25">
        <v>17</v>
      </c>
      <c r="BH33" s="25">
        <v>11</v>
      </c>
      <c r="BI33" s="25">
        <v>15</v>
      </c>
      <c r="BJ33" s="25">
        <v>22</v>
      </c>
    </row>
    <row r="34" spans="1:62" ht="15" customHeight="1" outlineLevel="1" x14ac:dyDescent="0.2">
      <c r="A34" s="56"/>
      <c r="B34" s="119" t="s">
        <v>177</v>
      </c>
      <c r="C34" s="120">
        <v>5.7130000000000001</v>
      </c>
      <c r="D34" s="120">
        <v>1.9410000000000001</v>
      </c>
      <c r="E34" s="120">
        <v>3.0790000000000002</v>
      </c>
      <c r="F34" s="120">
        <v>0.2</v>
      </c>
      <c r="G34" s="120">
        <v>0.375</v>
      </c>
      <c r="H34" s="120">
        <v>2.7549999999999999</v>
      </c>
      <c r="I34" s="120">
        <v>15.566000000000001</v>
      </c>
      <c r="J34" s="120">
        <v>8.4600000000000009</v>
      </c>
      <c r="K34" s="120">
        <v>10.275</v>
      </c>
      <c r="L34" s="120">
        <v>1.7</v>
      </c>
      <c r="M34" s="120">
        <v>15.26</v>
      </c>
      <c r="N34" s="120">
        <v>10.8</v>
      </c>
      <c r="O34" s="120">
        <v>0.35</v>
      </c>
      <c r="P34" s="120">
        <v>1.0509999999999999</v>
      </c>
      <c r="Q34" s="120">
        <v>0.15</v>
      </c>
      <c r="R34" s="120">
        <v>15.875</v>
      </c>
      <c r="S34" s="120">
        <v>0.25</v>
      </c>
      <c r="T34" s="120">
        <v>0</v>
      </c>
      <c r="U34" s="120">
        <v>0.25</v>
      </c>
      <c r="V34" s="120">
        <v>9.7750000000000004</v>
      </c>
      <c r="W34" s="120">
        <v>8.5749999999999993</v>
      </c>
      <c r="X34" s="120">
        <v>2.15</v>
      </c>
      <c r="Y34" s="120">
        <v>11.972</v>
      </c>
      <c r="Z34" s="118">
        <v>3.2749999999999999</v>
      </c>
      <c r="AA34" s="118">
        <v>5.8719999999999999</v>
      </c>
      <c r="AB34" s="118">
        <v>2.4950000000000001</v>
      </c>
      <c r="AC34" s="118">
        <v>0.115</v>
      </c>
      <c r="AD34" s="118">
        <v>9.5000000000000001E-2</v>
      </c>
      <c r="AE34" s="118">
        <v>5.05</v>
      </c>
      <c r="AF34" s="118">
        <v>2.7</v>
      </c>
      <c r="AG34" s="118">
        <v>0</v>
      </c>
      <c r="AH34" s="118">
        <v>0.08</v>
      </c>
      <c r="AI34" s="118">
        <v>0</v>
      </c>
      <c r="AJ34" s="118">
        <v>1.1499999999999999</v>
      </c>
      <c r="AK34" s="118">
        <v>51</v>
      </c>
      <c r="AL34" s="118">
        <v>79</v>
      </c>
      <c r="AM34" s="118">
        <v>99</v>
      </c>
      <c r="AN34" s="118">
        <v>45</v>
      </c>
      <c r="AO34" s="118">
        <v>33</v>
      </c>
      <c r="AP34" s="118">
        <v>70</v>
      </c>
      <c r="AQ34" s="118">
        <v>131</v>
      </c>
      <c r="AR34" s="118">
        <v>121</v>
      </c>
      <c r="AS34" s="118">
        <v>94</v>
      </c>
      <c r="AT34" s="118">
        <v>69</v>
      </c>
      <c r="AU34" s="118">
        <v>110</v>
      </c>
      <c r="AV34" s="118">
        <v>70</v>
      </c>
      <c r="AW34" s="118">
        <v>86</v>
      </c>
      <c r="AX34" s="118">
        <v>60</v>
      </c>
      <c r="AY34" s="118">
        <v>187</v>
      </c>
      <c r="AZ34" s="118">
        <v>122</v>
      </c>
      <c r="BA34" s="118">
        <v>55</v>
      </c>
      <c r="BB34" s="118">
        <v>124</v>
      </c>
      <c r="BC34" s="118">
        <v>101</v>
      </c>
      <c r="BD34" s="118">
        <v>102</v>
      </c>
      <c r="BE34" s="118">
        <v>13</v>
      </c>
      <c r="BF34" s="118">
        <v>87</v>
      </c>
      <c r="BG34" s="118">
        <v>119</v>
      </c>
      <c r="BH34" s="118">
        <v>48</v>
      </c>
      <c r="BI34" s="118">
        <v>31</v>
      </c>
      <c r="BJ34" s="118">
        <v>13</v>
      </c>
    </row>
    <row r="35" spans="1:62" ht="15" customHeight="1" outlineLevel="1" x14ac:dyDescent="0.2">
      <c r="A35" s="56"/>
      <c r="B35" s="2" t="s">
        <v>180</v>
      </c>
      <c r="C35" s="67">
        <f t="shared" ref="C35:BI35" si="3">SUM(C41,C44,C47)</f>
        <v>184</v>
      </c>
      <c r="D35" s="67">
        <f t="shared" si="3"/>
        <v>291</v>
      </c>
      <c r="E35" s="67">
        <f t="shared" si="3"/>
        <v>545</v>
      </c>
      <c r="F35" s="67">
        <f t="shared" si="3"/>
        <v>252</v>
      </c>
      <c r="G35" s="67">
        <f t="shared" si="3"/>
        <v>405</v>
      </c>
      <c r="H35" s="67">
        <f t="shared" si="3"/>
        <v>371</v>
      </c>
      <c r="I35" s="67">
        <f t="shared" si="3"/>
        <v>646</v>
      </c>
      <c r="J35" s="67">
        <f t="shared" si="3"/>
        <v>321</v>
      </c>
      <c r="K35" s="67">
        <f t="shared" si="3"/>
        <v>343</v>
      </c>
      <c r="L35" s="67">
        <f t="shared" si="3"/>
        <v>397</v>
      </c>
      <c r="M35" s="67">
        <f t="shared" si="3"/>
        <v>589</v>
      </c>
      <c r="N35" s="67">
        <f t="shared" si="3"/>
        <v>332</v>
      </c>
      <c r="O35" s="67">
        <f t="shared" si="3"/>
        <v>284</v>
      </c>
      <c r="P35" s="67">
        <f t="shared" si="3"/>
        <v>267</v>
      </c>
      <c r="Q35" s="67">
        <f t="shared" si="3"/>
        <v>592</v>
      </c>
      <c r="R35" s="67">
        <f t="shared" si="3"/>
        <v>367</v>
      </c>
      <c r="S35" s="67">
        <f t="shared" si="3"/>
        <v>267</v>
      </c>
      <c r="T35" s="67">
        <f t="shared" si="3"/>
        <v>386</v>
      </c>
      <c r="U35" s="67">
        <f t="shared" si="3"/>
        <v>582</v>
      </c>
      <c r="V35" s="67">
        <f t="shared" si="3"/>
        <v>315</v>
      </c>
      <c r="W35" s="67">
        <f t="shared" si="3"/>
        <v>285</v>
      </c>
      <c r="X35" s="67">
        <f t="shared" si="3"/>
        <v>432</v>
      </c>
      <c r="Y35" s="67">
        <f t="shared" si="3"/>
        <v>588</v>
      </c>
      <c r="Z35" s="67">
        <f t="shared" si="3"/>
        <v>347</v>
      </c>
      <c r="AA35" s="67">
        <f t="shared" si="3"/>
        <v>296</v>
      </c>
      <c r="AB35" s="67">
        <f t="shared" si="3"/>
        <v>453</v>
      </c>
      <c r="AC35" s="67">
        <f t="shared" si="3"/>
        <v>634</v>
      </c>
      <c r="AD35" s="67">
        <f t="shared" si="3"/>
        <v>375</v>
      </c>
      <c r="AE35" s="67">
        <f t="shared" si="3"/>
        <v>220</v>
      </c>
      <c r="AF35" s="67">
        <f t="shared" si="3"/>
        <v>270</v>
      </c>
      <c r="AG35" s="67">
        <f t="shared" si="3"/>
        <v>757</v>
      </c>
      <c r="AH35" s="67">
        <f t="shared" si="3"/>
        <v>347</v>
      </c>
      <c r="AI35" s="67">
        <f t="shared" si="3"/>
        <v>242</v>
      </c>
      <c r="AJ35" s="67">
        <f t="shared" si="3"/>
        <v>401</v>
      </c>
      <c r="AK35" s="67">
        <f t="shared" si="3"/>
        <v>563</v>
      </c>
      <c r="AL35" s="67">
        <f t="shared" si="3"/>
        <v>384</v>
      </c>
      <c r="AM35" s="67">
        <f t="shared" si="3"/>
        <v>320</v>
      </c>
      <c r="AN35" s="67">
        <f t="shared" si="3"/>
        <v>406</v>
      </c>
      <c r="AO35" s="67">
        <f t="shared" si="3"/>
        <v>587</v>
      </c>
      <c r="AP35" s="67">
        <f t="shared" si="3"/>
        <v>389</v>
      </c>
      <c r="AQ35" s="67">
        <f t="shared" si="3"/>
        <v>220</v>
      </c>
      <c r="AR35" s="67">
        <f t="shared" si="3"/>
        <v>284</v>
      </c>
      <c r="AS35" s="67">
        <f t="shared" si="3"/>
        <v>660</v>
      </c>
      <c r="AT35" s="67">
        <f t="shared" si="3"/>
        <v>462</v>
      </c>
      <c r="AU35" s="67">
        <f t="shared" si="3"/>
        <v>241</v>
      </c>
      <c r="AV35" s="67">
        <f t="shared" si="3"/>
        <v>432</v>
      </c>
      <c r="AW35" s="67">
        <f t="shared" si="3"/>
        <v>619</v>
      </c>
      <c r="AX35" s="67">
        <f t="shared" si="3"/>
        <v>321</v>
      </c>
      <c r="AY35" s="67">
        <f t="shared" si="3"/>
        <v>366</v>
      </c>
      <c r="AZ35" s="67">
        <f t="shared" si="3"/>
        <v>418</v>
      </c>
      <c r="BA35" s="67">
        <f t="shared" si="3"/>
        <v>563</v>
      </c>
      <c r="BB35" s="67">
        <f t="shared" si="3"/>
        <v>389</v>
      </c>
      <c r="BC35" s="67">
        <f t="shared" si="3"/>
        <v>150</v>
      </c>
      <c r="BD35" s="67">
        <f t="shared" si="3"/>
        <v>428</v>
      </c>
      <c r="BE35" s="67">
        <f t="shared" si="3"/>
        <v>368</v>
      </c>
      <c r="BF35" s="67">
        <f t="shared" si="3"/>
        <v>344</v>
      </c>
      <c r="BG35" s="67">
        <f t="shared" si="3"/>
        <v>309</v>
      </c>
      <c r="BH35" s="67">
        <f t="shared" si="3"/>
        <v>382</v>
      </c>
      <c r="BI35" s="67">
        <f t="shared" si="3"/>
        <v>555</v>
      </c>
      <c r="BJ35" s="67">
        <f>SUM(BJ41,BJ44,BJ47)</f>
        <v>428</v>
      </c>
    </row>
    <row r="36" spans="1:62" ht="15" customHeight="1" outlineLevel="1" x14ac:dyDescent="0.2">
      <c r="A36" s="56"/>
      <c r="B36" s="52" t="s">
        <v>51</v>
      </c>
      <c r="C36" s="25">
        <v>16</v>
      </c>
      <c r="D36" s="25">
        <v>38</v>
      </c>
      <c r="E36" s="25">
        <v>210</v>
      </c>
      <c r="F36" s="25">
        <v>42</v>
      </c>
      <c r="G36" s="25">
        <v>13</v>
      </c>
      <c r="H36" s="25">
        <v>69</v>
      </c>
      <c r="I36" s="25">
        <v>191</v>
      </c>
      <c r="J36" s="25">
        <v>46</v>
      </c>
      <c r="K36" s="25">
        <v>16</v>
      </c>
      <c r="L36" s="25">
        <v>50</v>
      </c>
      <c r="M36" s="25">
        <v>210</v>
      </c>
      <c r="N36" s="25">
        <v>66</v>
      </c>
      <c r="O36" s="25">
        <v>17</v>
      </c>
      <c r="P36" s="25">
        <v>8</v>
      </c>
      <c r="Q36" s="25">
        <v>208</v>
      </c>
      <c r="R36" s="25">
        <v>73</v>
      </c>
      <c r="S36" s="25">
        <v>8</v>
      </c>
      <c r="T36" s="25">
        <v>48</v>
      </c>
      <c r="U36" s="25">
        <v>172</v>
      </c>
      <c r="V36" s="25">
        <v>52</v>
      </c>
      <c r="W36" s="25">
        <v>12</v>
      </c>
      <c r="X36" s="25">
        <v>51</v>
      </c>
      <c r="Y36" s="25">
        <v>166</v>
      </c>
      <c r="Z36" s="25">
        <v>33</v>
      </c>
      <c r="AA36" s="3">
        <v>17</v>
      </c>
      <c r="AB36" s="3">
        <v>37</v>
      </c>
      <c r="AC36" s="3">
        <v>159</v>
      </c>
      <c r="AD36" s="3">
        <v>43</v>
      </c>
      <c r="AE36" s="3">
        <v>13</v>
      </c>
      <c r="AF36" s="3">
        <v>2</v>
      </c>
      <c r="AG36" s="3">
        <v>182</v>
      </c>
      <c r="AH36" s="3">
        <v>30</v>
      </c>
      <c r="AI36" s="3">
        <v>0</v>
      </c>
      <c r="AJ36" s="3">
        <v>0</v>
      </c>
      <c r="AK36" s="3">
        <v>139</v>
      </c>
      <c r="AL36" s="3">
        <v>97</v>
      </c>
      <c r="AM36" s="3">
        <v>24</v>
      </c>
      <c r="AN36" s="3">
        <v>55</v>
      </c>
      <c r="AO36" s="59">
        <v>154</v>
      </c>
      <c r="AP36" s="3">
        <v>83</v>
      </c>
      <c r="AQ36" s="59">
        <v>24</v>
      </c>
      <c r="AR36" s="59">
        <v>26</v>
      </c>
      <c r="AS36" s="59">
        <v>206</v>
      </c>
      <c r="AT36" s="59">
        <v>104</v>
      </c>
      <c r="AU36" s="59">
        <v>16</v>
      </c>
      <c r="AV36" s="25">
        <v>35</v>
      </c>
      <c r="AW36" s="25">
        <v>155</v>
      </c>
      <c r="AX36" s="25">
        <v>57</v>
      </c>
      <c r="AY36" s="25">
        <v>25</v>
      </c>
      <c r="AZ36" s="25">
        <v>83</v>
      </c>
      <c r="BA36" s="25">
        <v>146</v>
      </c>
      <c r="BB36" s="25">
        <v>83</v>
      </c>
      <c r="BC36" s="25">
        <v>29</v>
      </c>
      <c r="BD36" s="25">
        <v>75</v>
      </c>
      <c r="BE36" s="25">
        <v>139</v>
      </c>
      <c r="BF36" s="25">
        <v>77</v>
      </c>
      <c r="BG36" s="25">
        <v>64</v>
      </c>
      <c r="BH36" s="25">
        <v>30</v>
      </c>
      <c r="BI36" s="25">
        <v>182</v>
      </c>
      <c r="BJ36" s="25">
        <v>70</v>
      </c>
    </row>
    <row r="37" spans="1:62" ht="15" customHeight="1" outlineLevel="1" x14ac:dyDescent="0.2">
      <c r="A37" s="56"/>
      <c r="B37" s="52" t="s">
        <v>52</v>
      </c>
      <c r="C37" s="25">
        <v>26</v>
      </c>
      <c r="D37" s="25">
        <v>28</v>
      </c>
      <c r="E37" s="25">
        <v>150</v>
      </c>
      <c r="F37" s="25">
        <v>41</v>
      </c>
      <c r="G37" s="25">
        <v>42</v>
      </c>
      <c r="H37" s="25">
        <v>49</v>
      </c>
      <c r="I37" s="25">
        <v>129</v>
      </c>
      <c r="J37" s="25">
        <v>81</v>
      </c>
      <c r="K37" s="25">
        <v>22</v>
      </c>
      <c r="L37" s="25">
        <v>34</v>
      </c>
      <c r="M37" s="25">
        <v>135</v>
      </c>
      <c r="N37" s="25">
        <v>94</v>
      </c>
      <c r="O37" s="25">
        <v>26</v>
      </c>
      <c r="P37" s="25">
        <v>11</v>
      </c>
      <c r="Q37" s="25">
        <v>160</v>
      </c>
      <c r="R37" s="25">
        <v>117</v>
      </c>
      <c r="S37" s="25">
        <v>26</v>
      </c>
      <c r="T37" s="25">
        <v>43</v>
      </c>
      <c r="U37" s="25">
        <v>148</v>
      </c>
      <c r="V37" s="25">
        <v>98</v>
      </c>
      <c r="W37" s="25">
        <v>37</v>
      </c>
      <c r="X37" s="25">
        <v>54</v>
      </c>
      <c r="Y37" s="25">
        <v>146</v>
      </c>
      <c r="Z37" s="25">
        <v>110</v>
      </c>
      <c r="AA37" s="3">
        <v>44</v>
      </c>
      <c r="AB37" s="3">
        <v>39</v>
      </c>
      <c r="AC37" s="3">
        <v>185</v>
      </c>
      <c r="AD37" s="3">
        <v>97</v>
      </c>
      <c r="AE37" s="3">
        <v>34</v>
      </c>
      <c r="AF37" s="3">
        <v>5</v>
      </c>
      <c r="AG37" s="3">
        <v>210</v>
      </c>
      <c r="AH37" s="3">
        <v>88</v>
      </c>
      <c r="AI37" s="3">
        <v>0</v>
      </c>
      <c r="AJ37" s="3">
        <v>0</v>
      </c>
      <c r="AK37" s="3">
        <v>0</v>
      </c>
      <c r="AL37" s="3">
        <v>4</v>
      </c>
      <c r="AM37" s="3">
        <v>1</v>
      </c>
      <c r="AN37" s="3">
        <v>0</v>
      </c>
      <c r="AO37" s="59">
        <v>0</v>
      </c>
      <c r="AP37" s="3">
        <v>0</v>
      </c>
      <c r="AQ37" s="59">
        <v>0</v>
      </c>
      <c r="AR37" s="59">
        <v>0</v>
      </c>
      <c r="AS37" s="59">
        <v>0</v>
      </c>
      <c r="AT37" s="59">
        <v>51</v>
      </c>
      <c r="AU37" s="59">
        <v>0</v>
      </c>
      <c r="AV37" s="59">
        <v>0</v>
      </c>
      <c r="AW37" s="59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1</v>
      </c>
      <c r="BE37" s="25">
        <v>0</v>
      </c>
      <c r="BF37" s="25">
        <v>0</v>
      </c>
      <c r="BG37" s="25">
        <v>0</v>
      </c>
      <c r="BH37" s="25">
        <v>0</v>
      </c>
      <c r="BI37" s="25">
        <v>1</v>
      </c>
      <c r="BJ37" s="25">
        <v>1</v>
      </c>
    </row>
    <row r="38" spans="1:62" ht="15" customHeight="1" outlineLevel="1" x14ac:dyDescent="0.2">
      <c r="A38" s="56"/>
      <c r="B38" s="52" t="s">
        <v>53</v>
      </c>
      <c r="C38" s="25">
        <v>8</v>
      </c>
      <c r="D38" s="25">
        <v>3</v>
      </c>
      <c r="E38" s="25">
        <v>27</v>
      </c>
      <c r="F38" s="25">
        <v>11</v>
      </c>
      <c r="G38" s="25">
        <v>12</v>
      </c>
      <c r="H38" s="25">
        <v>21</v>
      </c>
      <c r="I38" s="25">
        <v>31</v>
      </c>
      <c r="J38" s="25">
        <v>27</v>
      </c>
      <c r="K38" s="25">
        <v>11</v>
      </c>
      <c r="L38" s="25">
        <v>12</v>
      </c>
      <c r="M38" s="25">
        <v>24</v>
      </c>
      <c r="N38" s="25">
        <v>26</v>
      </c>
      <c r="O38" s="25">
        <v>7</v>
      </c>
      <c r="P38" s="25">
        <v>4</v>
      </c>
      <c r="Q38" s="25">
        <v>28</v>
      </c>
      <c r="R38" s="25">
        <v>16</v>
      </c>
      <c r="S38" s="25">
        <v>5</v>
      </c>
      <c r="T38" s="25">
        <v>5</v>
      </c>
      <c r="U38" s="25">
        <v>22</v>
      </c>
      <c r="V38" s="25">
        <v>17</v>
      </c>
      <c r="W38" s="25">
        <v>6</v>
      </c>
      <c r="X38" s="25">
        <v>8</v>
      </c>
      <c r="Y38" s="25">
        <v>26</v>
      </c>
      <c r="Z38" s="25">
        <v>25</v>
      </c>
      <c r="AA38" s="3">
        <v>11</v>
      </c>
      <c r="AB38" s="3">
        <v>5</v>
      </c>
      <c r="AC38" s="3">
        <v>24</v>
      </c>
      <c r="AD38" s="3">
        <v>26</v>
      </c>
      <c r="AE38" s="3">
        <v>0</v>
      </c>
      <c r="AF38" s="3">
        <v>3</v>
      </c>
      <c r="AG38" s="3">
        <v>20</v>
      </c>
      <c r="AH38" s="3">
        <v>24</v>
      </c>
      <c r="AI38" s="3">
        <v>5</v>
      </c>
      <c r="AJ38" s="3">
        <v>14</v>
      </c>
      <c r="AK38" s="3">
        <v>39</v>
      </c>
      <c r="AL38" s="3">
        <v>48</v>
      </c>
      <c r="AM38" s="3">
        <v>14</v>
      </c>
      <c r="AN38" s="3">
        <v>10</v>
      </c>
      <c r="AO38" s="59">
        <v>34</v>
      </c>
      <c r="AP38" s="3">
        <v>39</v>
      </c>
      <c r="AQ38" s="59">
        <v>16</v>
      </c>
      <c r="AR38" s="59">
        <v>6</v>
      </c>
      <c r="AS38" s="59">
        <v>40</v>
      </c>
      <c r="AT38" s="59">
        <v>100</v>
      </c>
      <c r="AU38" s="59">
        <v>12</v>
      </c>
      <c r="AV38" s="25">
        <v>6</v>
      </c>
      <c r="AW38" s="25">
        <v>34</v>
      </c>
      <c r="AX38" s="25">
        <v>25</v>
      </c>
      <c r="AY38" s="25">
        <v>8</v>
      </c>
      <c r="AZ38" s="25">
        <v>9</v>
      </c>
      <c r="BA38" s="25">
        <v>11</v>
      </c>
      <c r="BB38" s="25">
        <v>0</v>
      </c>
      <c r="BC38" s="25">
        <v>0</v>
      </c>
      <c r="BD38" s="25">
        <v>10</v>
      </c>
      <c r="BE38" s="25">
        <v>8</v>
      </c>
      <c r="BF38" s="25">
        <v>13</v>
      </c>
      <c r="BG38" s="25">
        <v>7</v>
      </c>
      <c r="BH38" s="25">
        <v>8</v>
      </c>
      <c r="BI38" s="25">
        <v>25</v>
      </c>
      <c r="BJ38" s="25">
        <v>30</v>
      </c>
    </row>
    <row r="39" spans="1:62" ht="15" customHeight="1" outlineLevel="1" x14ac:dyDescent="0.2">
      <c r="A39" s="56"/>
      <c r="B39" s="52" t="s">
        <v>54</v>
      </c>
      <c r="C39" s="25">
        <v>15</v>
      </c>
      <c r="D39" s="25">
        <v>27</v>
      </c>
      <c r="E39" s="25">
        <v>59</v>
      </c>
      <c r="F39" s="25">
        <v>36</v>
      </c>
      <c r="G39" s="25">
        <v>21</v>
      </c>
      <c r="H39" s="25">
        <v>34</v>
      </c>
      <c r="I39" s="25">
        <v>84</v>
      </c>
      <c r="J39" s="25">
        <v>43</v>
      </c>
      <c r="K39" s="25">
        <v>14</v>
      </c>
      <c r="L39" s="25">
        <v>17</v>
      </c>
      <c r="M39" s="25">
        <v>38</v>
      </c>
      <c r="N39" s="25">
        <v>36</v>
      </c>
      <c r="O39" s="25">
        <v>12</v>
      </c>
      <c r="P39" s="25">
        <v>5</v>
      </c>
      <c r="Q39" s="25">
        <v>33</v>
      </c>
      <c r="R39" s="25">
        <v>15</v>
      </c>
      <c r="S39" s="25">
        <v>4</v>
      </c>
      <c r="T39" s="25">
        <v>13</v>
      </c>
      <c r="U39" s="25">
        <v>27</v>
      </c>
      <c r="V39" s="25">
        <v>37</v>
      </c>
      <c r="W39" s="25">
        <v>19</v>
      </c>
      <c r="X39" s="25">
        <v>24</v>
      </c>
      <c r="Y39" s="25">
        <v>25</v>
      </c>
      <c r="Z39" s="25">
        <v>57</v>
      </c>
      <c r="AA39" s="3">
        <v>9</v>
      </c>
      <c r="AB39" s="3">
        <v>16</v>
      </c>
      <c r="AC39" s="3">
        <v>51</v>
      </c>
      <c r="AD39" s="3">
        <v>53</v>
      </c>
      <c r="AE39" s="3">
        <v>15</v>
      </c>
      <c r="AF39" s="3">
        <v>6</v>
      </c>
      <c r="AG39" s="3">
        <v>99</v>
      </c>
      <c r="AH39" s="3">
        <v>85</v>
      </c>
      <c r="AI39" s="3">
        <v>31</v>
      </c>
      <c r="AJ39" s="3">
        <v>70</v>
      </c>
      <c r="AK39" s="3">
        <v>83</v>
      </c>
      <c r="AL39" s="3">
        <v>108</v>
      </c>
      <c r="AM39" s="3">
        <v>26</v>
      </c>
      <c r="AN39" s="3">
        <v>39</v>
      </c>
      <c r="AO39" s="59">
        <v>69</v>
      </c>
      <c r="AP39" s="3">
        <v>102</v>
      </c>
      <c r="AQ39" s="59">
        <v>34</v>
      </c>
      <c r="AR39" s="59">
        <v>20</v>
      </c>
      <c r="AS39" s="59">
        <v>111</v>
      </c>
      <c r="AT39" s="59">
        <v>3</v>
      </c>
      <c r="AU39" s="59">
        <v>30</v>
      </c>
      <c r="AV39" s="25">
        <v>9</v>
      </c>
      <c r="AW39" s="25">
        <v>116</v>
      </c>
      <c r="AX39" s="25">
        <v>91</v>
      </c>
      <c r="AY39" s="25">
        <v>33</v>
      </c>
      <c r="AZ39" s="25">
        <v>31</v>
      </c>
      <c r="BA39" s="25">
        <v>101</v>
      </c>
      <c r="BB39" s="25">
        <v>95</v>
      </c>
      <c r="BC39" s="25">
        <v>34</v>
      </c>
      <c r="BD39" s="25">
        <v>41</v>
      </c>
      <c r="BE39" s="25">
        <v>51</v>
      </c>
      <c r="BF39" s="25">
        <v>97</v>
      </c>
      <c r="BG39" s="25">
        <v>65</v>
      </c>
      <c r="BH39" s="25">
        <v>41</v>
      </c>
      <c r="BI39" s="25">
        <v>93</v>
      </c>
      <c r="BJ39" s="25">
        <v>98</v>
      </c>
    </row>
    <row r="40" spans="1:62" ht="15" customHeight="1" outlineLevel="1" x14ac:dyDescent="0.2">
      <c r="A40" s="56"/>
      <c r="B40" s="52" t="s">
        <v>62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59"/>
      <c r="AP40" s="3">
        <v>4</v>
      </c>
      <c r="AQ40" s="59">
        <v>1</v>
      </c>
      <c r="AR40" s="59">
        <v>2</v>
      </c>
      <c r="AS40" s="59">
        <v>7</v>
      </c>
      <c r="AT40" s="59">
        <v>3</v>
      </c>
      <c r="AU40" s="59">
        <v>2</v>
      </c>
      <c r="AV40" s="25">
        <v>1</v>
      </c>
      <c r="AW40" s="25">
        <v>12</v>
      </c>
      <c r="AX40" s="25">
        <v>2</v>
      </c>
      <c r="AY40" s="25">
        <v>0</v>
      </c>
      <c r="AZ40" s="25">
        <v>3</v>
      </c>
      <c r="BA40" s="25">
        <v>6</v>
      </c>
      <c r="BB40" s="25">
        <v>2</v>
      </c>
      <c r="BC40" s="25">
        <v>0</v>
      </c>
      <c r="BD40" s="25">
        <v>0</v>
      </c>
      <c r="BE40" s="25">
        <v>1</v>
      </c>
      <c r="BF40" s="25">
        <v>1</v>
      </c>
      <c r="BG40" s="25">
        <v>0</v>
      </c>
      <c r="BH40" s="25">
        <v>1</v>
      </c>
      <c r="BI40" s="25">
        <v>4</v>
      </c>
      <c r="BJ40" s="25">
        <v>2</v>
      </c>
    </row>
    <row r="41" spans="1:62" ht="15" customHeight="1" outlineLevel="1" x14ac:dyDescent="0.2">
      <c r="A41" s="56"/>
      <c r="B41" s="78" t="s">
        <v>209</v>
      </c>
      <c r="C41" s="81">
        <f t="shared" ref="C41:AM41" si="4">SUM(C36:C40)</f>
        <v>65</v>
      </c>
      <c r="D41" s="81">
        <f t="shared" si="4"/>
        <v>96</v>
      </c>
      <c r="E41" s="81">
        <f t="shared" si="4"/>
        <v>446</v>
      </c>
      <c r="F41" s="81">
        <f t="shared" si="4"/>
        <v>130</v>
      </c>
      <c r="G41" s="81">
        <f t="shared" si="4"/>
        <v>88</v>
      </c>
      <c r="H41" s="81">
        <f t="shared" si="4"/>
        <v>173</v>
      </c>
      <c r="I41" s="81">
        <f t="shared" si="4"/>
        <v>435</v>
      </c>
      <c r="J41" s="81">
        <f t="shared" si="4"/>
        <v>197</v>
      </c>
      <c r="K41" s="81">
        <f t="shared" si="4"/>
        <v>63</v>
      </c>
      <c r="L41" s="81">
        <f t="shared" si="4"/>
        <v>113</v>
      </c>
      <c r="M41" s="81">
        <f t="shared" si="4"/>
        <v>407</v>
      </c>
      <c r="N41" s="81">
        <f t="shared" si="4"/>
        <v>222</v>
      </c>
      <c r="O41" s="81">
        <f t="shared" si="4"/>
        <v>62</v>
      </c>
      <c r="P41" s="81">
        <f t="shared" si="4"/>
        <v>28</v>
      </c>
      <c r="Q41" s="81">
        <f t="shared" si="4"/>
        <v>429</v>
      </c>
      <c r="R41" s="81">
        <f t="shared" si="4"/>
        <v>221</v>
      </c>
      <c r="S41" s="81">
        <f t="shared" si="4"/>
        <v>43</v>
      </c>
      <c r="T41" s="81">
        <f t="shared" si="4"/>
        <v>109</v>
      </c>
      <c r="U41" s="81">
        <f t="shared" si="4"/>
        <v>369</v>
      </c>
      <c r="V41" s="81">
        <f t="shared" si="4"/>
        <v>204</v>
      </c>
      <c r="W41" s="81">
        <f t="shared" si="4"/>
        <v>74</v>
      </c>
      <c r="X41" s="81">
        <f t="shared" si="4"/>
        <v>137</v>
      </c>
      <c r="Y41" s="81">
        <f t="shared" si="4"/>
        <v>363</v>
      </c>
      <c r="Z41" s="81">
        <f t="shared" si="4"/>
        <v>225</v>
      </c>
      <c r="AA41" s="81">
        <f t="shared" si="4"/>
        <v>81</v>
      </c>
      <c r="AB41" s="81">
        <f t="shared" si="4"/>
        <v>97</v>
      </c>
      <c r="AC41" s="81">
        <f t="shared" si="4"/>
        <v>419</v>
      </c>
      <c r="AD41" s="81">
        <f t="shared" si="4"/>
        <v>219</v>
      </c>
      <c r="AE41" s="81">
        <f t="shared" si="4"/>
        <v>62</v>
      </c>
      <c r="AF41" s="81">
        <f t="shared" si="4"/>
        <v>16</v>
      </c>
      <c r="AG41" s="81">
        <f t="shared" si="4"/>
        <v>511</v>
      </c>
      <c r="AH41" s="81">
        <f t="shared" si="4"/>
        <v>227</v>
      </c>
      <c r="AI41" s="81">
        <f t="shared" si="4"/>
        <v>36</v>
      </c>
      <c r="AJ41" s="81">
        <f t="shared" si="4"/>
        <v>84</v>
      </c>
      <c r="AK41" s="81">
        <f t="shared" si="4"/>
        <v>261</v>
      </c>
      <c r="AL41" s="81">
        <f t="shared" si="4"/>
        <v>257</v>
      </c>
      <c r="AM41" s="81">
        <f t="shared" si="4"/>
        <v>65</v>
      </c>
      <c r="AN41" s="81">
        <f t="shared" ref="AN41:AT41" si="5">SUM(AN36:AN40)</f>
        <v>104</v>
      </c>
      <c r="AO41" s="81">
        <f t="shared" si="5"/>
        <v>257</v>
      </c>
      <c r="AP41" s="81">
        <f t="shared" si="5"/>
        <v>228</v>
      </c>
      <c r="AQ41" s="81">
        <f t="shared" si="5"/>
        <v>75</v>
      </c>
      <c r="AR41" s="81">
        <f t="shared" si="5"/>
        <v>54</v>
      </c>
      <c r="AS41" s="81">
        <f t="shared" si="5"/>
        <v>364</v>
      </c>
      <c r="AT41" s="81">
        <f t="shared" si="5"/>
        <v>261</v>
      </c>
      <c r="AU41" s="82">
        <v>60</v>
      </c>
      <c r="AV41" s="81">
        <f>SUM(AV36:AV40)</f>
        <v>51</v>
      </c>
      <c r="AW41" s="81">
        <f>SUM(AW36:AW40)</f>
        <v>317</v>
      </c>
      <c r="AX41" s="81">
        <f>SUM(AX36:AX40)</f>
        <v>175</v>
      </c>
      <c r="AY41" s="81">
        <v>67</v>
      </c>
      <c r="AZ41" s="81">
        <v>126</v>
      </c>
      <c r="BA41" s="81">
        <v>264</v>
      </c>
      <c r="BB41" s="81">
        <v>179</v>
      </c>
      <c r="BC41" s="81">
        <v>63</v>
      </c>
      <c r="BD41" s="81">
        <v>126</v>
      </c>
      <c r="BE41" s="81">
        <v>199</v>
      </c>
      <c r="BF41" s="81">
        <v>188</v>
      </c>
      <c r="BG41" s="81">
        <v>155</v>
      </c>
      <c r="BH41" s="81">
        <v>80</v>
      </c>
      <c r="BI41" s="81">
        <v>305</v>
      </c>
      <c r="BJ41" s="81">
        <v>201</v>
      </c>
    </row>
    <row r="42" spans="1:62" ht="15" customHeight="1" outlineLevel="1" x14ac:dyDescent="0.2">
      <c r="A42" s="56"/>
      <c r="B42" s="52" t="s">
        <v>55</v>
      </c>
      <c r="C42" s="25">
        <v>11</v>
      </c>
      <c r="D42" s="25">
        <v>16</v>
      </c>
      <c r="E42" s="25">
        <v>14</v>
      </c>
      <c r="F42" s="25">
        <v>28</v>
      </c>
      <c r="G42" s="25">
        <v>107</v>
      </c>
      <c r="H42" s="25">
        <v>53</v>
      </c>
      <c r="I42" s="25">
        <v>29</v>
      </c>
      <c r="J42" s="25">
        <v>24</v>
      </c>
      <c r="K42" s="25">
        <v>88</v>
      </c>
      <c r="L42" s="25">
        <v>57</v>
      </c>
      <c r="M42" s="25">
        <v>20</v>
      </c>
      <c r="N42" s="25">
        <v>20</v>
      </c>
      <c r="O42" s="25">
        <v>59</v>
      </c>
      <c r="P42" s="25">
        <v>41</v>
      </c>
      <c r="Q42" s="25">
        <v>21</v>
      </c>
      <c r="R42" s="25">
        <v>19</v>
      </c>
      <c r="S42" s="25">
        <v>49</v>
      </c>
      <c r="T42" s="25">
        <v>50</v>
      </c>
      <c r="U42" s="25">
        <v>23</v>
      </c>
      <c r="V42" s="25">
        <v>16</v>
      </c>
      <c r="W42" s="25">
        <v>59</v>
      </c>
      <c r="X42" s="25">
        <v>55</v>
      </c>
      <c r="Y42" s="25">
        <v>21</v>
      </c>
      <c r="Z42" s="25">
        <v>25</v>
      </c>
      <c r="AA42" s="3">
        <v>61</v>
      </c>
      <c r="AB42" s="3">
        <v>65</v>
      </c>
      <c r="AC42" s="3">
        <v>31</v>
      </c>
      <c r="AD42" s="3">
        <v>24</v>
      </c>
      <c r="AE42" s="3">
        <v>37</v>
      </c>
      <c r="AF42" s="3">
        <v>26</v>
      </c>
      <c r="AG42" s="3">
        <v>32</v>
      </c>
      <c r="AH42" s="3">
        <v>16</v>
      </c>
      <c r="AI42" s="3">
        <v>88</v>
      </c>
      <c r="AJ42" s="3">
        <v>79</v>
      </c>
      <c r="AK42" s="3">
        <v>42</v>
      </c>
      <c r="AL42" s="3">
        <v>12</v>
      </c>
      <c r="AM42" s="3">
        <v>99</v>
      </c>
      <c r="AN42" s="3">
        <v>55</v>
      </c>
      <c r="AO42" s="59">
        <v>54</v>
      </c>
      <c r="AP42" s="3">
        <v>32</v>
      </c>
      <c r="AQ42" s="59">
        <v>36</v>
      </c>
      <c r="AR42" s="59">
        <v>20</v>
      </c>
      <c r="AS42" s="59">
        <v>29</v>
      </c>
      <c r="AT42" s="59">
        <v>25</v>
      </c>
      <c r="AU42" s="59">
        <v>53</v>
      </c>
      <c r="AV42" s="25">
        <v>94</v>
      </c>
      <c r="AW42" s="25">
        <v>53</v>
      </c>
      <c r="AX42" s="25">
        <v>40</v>
      </c>
      <c r="AY42" s="25">
        <v>76</v>
      </c>
      <c r="AZ42" s="25">
        <v>73</v>
      </c>
      <c r="BA42" s="25">
        <v>57</v>
      </c>
      <c r="BB42" s="25">
        <v>32</v>
      </c>
      <c r="BC42" s="25">
        <v>22</v>
      </c>
      <c r="BD42" s="25">
        <v>14</v>
      </c>
      <c r="BE42" s="25">
        <v>18</v>
      </c>
      <c r="BF42" s="25">
        <v>43</v>
      </c>
      <c r="BG42" s="25">
        <v>44</v>
      </c>
      <c r="BH42" s="25">
        <v>89</v>
      </c>
      <c r="BI42" s="25">
        <v>43</v>
      </c>
      <c r="BJ42" s="25">
        <v>46</v>
      </c>
    </row>
    <row r="43" spans="1:62" ht="15" customHeight="1" outlineLevel="1" x14ac:dyDescent="0.2">
      <c r="A43" s="56"/>
      <c r="B43" s="52" t="s">
        <v>56</v>
      </c>
      <c r="C43" s="25">
        <v>105</v>
      </c>
      <c r="D43" s="25">
        <v>176</v>
      </c>
      <c r="E43" s="25">
        <v>83</v>
      </c>
      <c r="F43" s="25">
        <v>93</v>
      </c>
      <c r="G43" s="25">
        <v>207</v>
      </c>
      <c r="H43" s="25">
        <v>141</v>
      </c>
      <c r="I43" s="25">
        <v>179</v>
      </c>
      <c r="J43" s="25">
        <v>100</v>
      </c>
      <c r="K43" s="25">
        <v>192</v>
      </c>
      <c r="L43" s="25">
        <v>226</v>
      </c>
      <c r="M43" s="25">
        <v>160</v>
      </c>
      <c r="N43" s="25">
        <v>90</v>
      </c>
      <c r="O43" s="25">
        <v>162</v>
      </c>
      <c r="P43" s="25">
        <v>197</v>
      </c>
      <c r="Q43" s="25">
        <v>141</v>
      </c>
      <c r="R43" s="25">
        <v>127</v>
      </c>
      <c r="S43" s="25">
        <v>174</v>
      </c>
      <c r="T43" s="25">
        <v>226</v>
      </c>
      <c r="U43" s="25">
        <v>188</v>
      </c>
      <c r="V43" s="25">
        <v>95</v>
      </c>
      <c r="W43" s="25">
        <v>150</v>
      </c>
      <c r="X43" s="25">
        <v>239</v>
      </c>
      <c r="Y43" s="25">
        <v>204</v>
      </c>
      <c r="Z43" s="25">
        <v>97</v>
      </c>
      <c r="AA43" s="3">
        <v>154</v>
      </c>
      <c r="AB43" s="3">
        <v>291</v>
      </c>
      <c r="AC43" s="3">
        <v>184</v>
      </c>
      <c r="AD43" s="3">
        <v>132</v>
      </c>
      <c r="AE43" s="3">
        <v>121</v>
      </c>
      <c r="AF43" s="3">
        <v>228</v>
      </c>
      <c r="AG43" s="3">
        <v>214</v>
      </c>
      <c r="AH43" s="3">
        <v>104</v>
      </c>
      <c r="AI43" s="3">
        <v>118</v>
      </c>
      <c r="AJ43" s="3">
        <v>238</v>
      </c>
      <c r="AK43" s="3">
        <v>260</v>
      </c>
      <c r="AL43" s="3">
        <v>115</v>
      </c>
      <c r="AM43" s="3">
        <v>156</v>
      </c>
      <c r="AN43" s="3">
        <v>247</v>
      </c>
      <c r="AO43" s="59">
        <v>276</v>
      </c>
      <c r="AP43" s="3">
        <v>129</v>
      </c>
      <c r="AQ43" s="59">
        <v>109</v>
      </c>
      <c r="AR43" s="59">
        <v>210</v>
      </c>
      <c r="AS43" s="59">
        <v>258</v>
      </c>
      <c r="AT43" s="59">
        <v>165</v>
      </c>
      <c r="AU43" s="59">
        <v>121</v>
      </c>
      <c r="AV43" s="25">
        <v>272</v>
      </c>
      <c r="AW43" s="25">
        <v>231</v>
      </c>
      <c r="AX43" s="25">
        <v>95</v>
      </c>
      <c r="AY43" s="25">
        <f t="shared" ref="AY43:BJ43" si="6">+AY44-AY42</f>
        <v>209</v>
      </c>
      <c r="AZ43" s="25">
        <f t="shared" si="6"/>
        <v>204</v>
      </c>
      <c r="BA43" s="25">
        <f t="shared" si="6"/>
        <v>212</v>
      </c>
      <c r="BB43" s="25">
        <f t="shared" si="6"/>
        <v>158</v>
      </c>
      <c r="BC43" s="25">
        <f t="shared" si="6"/>
        <v>42</v>
      </c>
      <c r="BD43" s="25">
        <f t="shared" si="6"/>
        <v>268</v>
      </c>
      <c r="BE43" s="25">
        <f t="shared" si="6"/>
        <v>144</v>
      </c>
      <c r="BF43" s="25">
        <f t="shared" si="6"/>
        <v>97</v>
      </c>
      <c r="BG43" s="25">
        <f t="shared" si="6"/>
        <v>93</v>
      </c>
      <c r="BH43" s="25">
        <f t="shared" si="6"/>
        <v>202</v>
      </c>
      <c r="BI43" s="25">
        <f t="shared" si="6"/>
        <v>192</v>
      </c>
      <c r="BJ43" s="25">
        <f t="shared" si="6"/>
        <v>159</v>
      </c>
    </row>
    <row r="44" spans="1:62" ht="15" customHeight="1" outlineLevel="1" x14ac:dyDescent="0.2">
      <c r="A44" s="56"/>
      <c r="B44" s="78" t="s">
        <v>210</v>
      </c>
      <c r="C44" s="81">
        <f t="shared" ref="C44:AO44" si="7">SUM(C42:C43)</f>
        <v>116</v>
      </c>
      <c r="D44" s="81">
        <f t="shared" si="7"/>
        <v>192</v>
      </c>
      <c r="E44" s="81">
        <f t="shared" si="7"/>
        <v>97</v>
      </c>
      <c r="F44" s="81">
        <f t="shared" si="7"/>
        <v>121</v>
      </c>
      <c r="G44" s="81">
        <f t="shared" si="7"/>
        <v>314</v>
      </c>
      <c r="H44" s="81">
        <f t="shared" si="7"/>
        <v>194</v>
      </c>
      <c r="I44" s="81">
        <f t="shared" si="7"/>
        <v>208</v>
      </c>
      <c r="J44" s="81">
        <f t="shared" si="7"/>
        <v>124</v>
      </c>
      <c r="K44" s="81">
        <f t="shared" si="7"/>
        <v>280</v>
      </c>
      <c r="L44" s="81">
        <f t="shared" si="7"/>
        <v>283</v>
      </c>
      <c r="M44" s="81">
        <f t="shared" si="7"/>
        <v>180</v>
      </c>
      <c r="N44" s="81">
        <f t="shared" si="7"/>
        <v>110</v>
      </c>
      <c r="O44" s="81">
        <f t="shared" si="7"/>
        <v>221</v>
      </c>
      <c r="P44" s="81">
        <f t="shared" si="7"/>
        <v>238</v>
      </c>
      <c r="Q44" s="81">
        <f t="shared" si="7"/>
        <v>162</v>
      </c>
      <c r="R44" s="81">
        <f t="shared" si="7"/>
        <v>146</v>
      </c>
      <c r="S44" s="81">
        <f t="shared" si="7"/>
        <v>223</v>
      </c>
      <c r="T44" s="81">
        <f t="shared" si="7"/>
        <v>276</v>
      </c>
      <c r="U44" s="81">
        <f t="shared" si="7"/>
        <v>211</v>
      </c>
      <c r="V44" s="81">
        <f t="shared" si="7"/>
        <v>111</v>
      </c>
      <c r="W44" s="81">
        <f t="shared" si="7"/>
        <v>209</v>
      </c>
      <c r="X44" s="81">
        <f t="shared" si="7"/>
        <v>294</v>
      </c>
      <c r="Y44" s="81">
        <f t="shared" si="7"/>
        <v>225</v>
      </c>
      <c r="Z44" s="81">
        <f t="shared" si="7"/>
        <v>122</v>
      </c>
      <c r="AA44" s="81">
        <f t="shared" si="7"/>
        <v>215</v>
      </c>
      <c r="AB44" s="81">
        <f t="shared" si="7"/>
        <v>356</v>
      </c>
      <c r="AC44" s="81">
        <f t="shared" si="7"/>
        <v>215</v>
      </c>
      <c r="AD44" s="81">
        <f t="shared" si="7"/>
        <v>156</v>
      </c>
      <c r="AE44" s="81">
        <f t="shared" si="7"/>
        <v>158</v>
      </c>
      <c r="AF44" s="81">
        <f t="shared" si="7"/>
        <v>254</v>
      </c>
      <c r="AG44" s="81">
        <f t="shared" si="7"/>
        <v>246</v>
      </c>
      <c r="AH44" s="81">
        <f t="shared" si="7"/>
        <v>120</v>
      </c>
      <c r="AI44" s="81">
        <f t="shared" si="7"/>
        <v>206</v>
      </c>
      <c r="AJ44" s="81">
        <f t="shared" si="7"/>
        <v>317</v>
      </c>
      <c r="AK44" s="81">
        <f t="shared" si="7"/>
        <v>302</v>
      </c>
      <c r="AL44" s="81">
        <f t="shared" si="7"/>
        <v>127</v>
      </c>
      <c r="AM44" s="81">
        <f t="shared" si="7"/>
        <v>255</v>
      </c>
      <c r="AN44" s="81">
        <f t="shared" si="7"/>
        <v>302</v>
      </c>
      <c r="AO44" s="81">
        <f t="shared" si="7"/>
        <v>330</v>
      </c>
      <c r="AP44" s="81">
        <f>SUM(AP42:AP43)</f>
        <v>161</v>
      </c>
      <c r="AQ44" s="81">
        <f>SUM(AQ42:AQ43)</f>
        <v>145</v>
      </c>
      <c r="AR44" s="81">
        <f>SUM(AR42:AR43)</f>
        <v>230</v>
      </c>
      <c r="AS44" s="81">
        <f>SUM(AS42:AS43)</f>
        <v>287</v>
      </c>
      <c r="AT44" s="81">
        <f>SUM(AT42:AT43)</f>
        <v>190</v>
      </c>
      <c r="AU44" s="82">
        <v>174</v>
      </c>
      <c r="AV44" s="81">
        <f>SUM(AV42:AV43)</f>
        <v>366</v>
      </c>
      <c r="AW44" s="81">
        <f>SUM(AW42:AW43)</f>
        <v>284</v>
      </c>
      <c r="AX44" s="81">
        <f>SUM(AX42:AX43)</f>
        <v>135</v>
      </c>
      <c r="AY44" s="81">
        <v>285</v>
      </c>
      <c r="AZ44" s="81">
        <v>277</v>
      </c>
      <c r="BA44" s="81">
        <v>269</v>
      </c>
      <c r="BB44" s="81">
        <v>190</v>
      </c>
      <c r="BC44" s="81">
        <v>64</v>
      </c>
      <c r="BD44" s="81">
        <v>282</v>
      </c>
      <c r="BE44" s="81">
        <v>162</v>
      </c>
      <c r="BF44" s="81">
        <v>140</v>
      </c>
      <c r="BG44" s="81">
        <v>137</v>
      </c>
      <c r="BH44" s="81">
        <v>291</v>
      </c>
      <c r="BI44" s="81">
        <v>235</v>
      </c>
      <c r="BJ44" s="81">
        <v>205</v>
      </c>
    </row>
    <row r="45" spans="1:62" ht="15" customHeight="1" outlineLevel="1" x14ac:dyDescent="0.2">
      <c r="A45" s="56"/>
      <c r="B45" s="52" t="s">
        <v>190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59"/>
      <c r="AP45" s="3"/>
      <c r="AQ45" s="59"/>
      <c r="AR45" s="59"/>
      <c r="AS45" s="59">
        <v>3</v>
      </c>
      <c r="AT45" s="59">
        <v>2</v>
      </c>
      <c r="AU45" s="59">
        <v>1</v>
      </c>
      <c r="AV45" s="25">
        <v>10</v>
      </c>
      <c r="AW45" s="25">
        <v>10</v>
      </c>
      <c r="AX45" s="25">
        <v>2</v>
      </c>
      <c r="AY45" s="25">
        <v>7</v>
      </c>
      <c r="AZ45" s="25">
        <v>10</v>
      </c>
      <c r="BA45" s="25">
        <v>21</v>
      </c>
      <c r="BB45" s="25">
        <v>11</v>
      </c>
      <c r="BC45" s="25">
        <v>17</v>
      </c>
      <c r="BD45" s="25">
        <v>14</v>
      </c>
      <c r="BE45" s="25">
        <v>3</v>
      </c>
      <c r="BF45" s="25">
        <v>7</v>
      </c>
      <c r="BG45" s="25">
        <v>9</v>
      </c>
      <c r="BH45" s="25">
        <v>6</v>
      </c>
      <c r="BI45" s="25">
        <v>10</v>
      </c>
      <c r="BJ45" s="25">
        <v>13</v>
      </c>
    </row>
    <row r="46" spans="1:62" ht="15" customHeight="1" outlineLevel="1" x14ac:dyDescent="0.2">
      <c r="A46" s="56"/>
      <c r="B46" s="52" t="s">
        <v>204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59"/>
      <c r="AP46" s="3"/>
      <c r="AQ46" s="59"/>
      <c r="AR46" s="59"/>
      <c r="AS46" s="59">
        <v>6</v>
      </c>
      <c r="AT46" s="59">
        <v>9</v>
      </c>
      <c r="AU46" s="59">
        <v>6</v>
      </c>
      <c r="AV46" s="25">
        <v>5</v>
      </c>
      <c r="AW46" s="25">
        <v>8</v>
      </c>
      <c r="AX46" s="25">
        <v>8</v>
      </c>
      <c r="AY46" s="25">
        <v>7</v>
      </c>
      <c r="AZ46" s="25">
        <v>5</v>
      </c>
      <c r="BA46" s="25">
        <v>9</v>
      </c>
      <c r="BB46" s="25">
        <v>9</v>
      </c>
      <c r="BC46" s="25">
        <v>6</v>
      </c>
      <c r="BD46" s="25">
        <v>6</v>
      </c>
      <c r="BE46" s="25">
        <v>4</v>
      </c>
      <c r="BF46" s="25">
        <v>9</v>
      </c>
      <c r="BG46" s="25">
        <v>8</v>
      </c>
      <c r="BH46" s="25">
        <v>5</v>
      </c>
      <c r="BI46" s="25">
        <v>5</v>
      </c>
      <c r="BJ46" s="25">
        <v>9</v>
      </c>
    </row>
    <row r="47" spans="1:62" ht="15" customHeight="1" outlineLevel="1" x14ac:dyDescent="0.2">
      <c r="A47" s="56"/>
      <c r="B47" s="79" t="s">
        <v>211</v>
      </c>
      <c r="C47" s="27">
        <v>3</v>
      </c>
      <c r="D47" s="27">
        <v>3</v>
      </c>
      <c r="E47" s="27">
        <v>2</v>
      </c>
      <c r="F47" s="27">
        <v>1</v>
      </c>
      <c r="G47" s="27">
        <v>3</v>
      </c>
      <c r="H47" s="27">
        <v>4</v>
      </c>
      <c r="I47" s="27">
        <v>3</v>
      </c>
      <c r="J47" s="27">
        <v>0</v>
      </c>
      <c r="K47" s="27">
        <v>0</v>
      </c>
      <c r="L47" s="27">
        <v>1</v>
      </c>
      <c r="M47" s="27">
        <v>2</v>
      </c>
      <c r="N47" s="27">
        <v>0</v>
      </c>
      <c r="O47" s="27">
        <v>1</v>
      </c>
      <c r="P47" s="27">
        <v>1</v>
      </c>
      <c r="Q47" s="27">
        <v>1</v>
      </c>
      <c r="R47" s="27">
        <v>0</v>
      </c>
      <c r="S47" s="27">
        <v>1</v>
      </c>
      <c r="T47" s="27">
        <v>1</v>
      </c>
      <c r="U47" s="27">
        <v>2</v>
      </c>
      <c r="V47" s="27">
        <v>0</v>
      </c>
      <c r="W47" s="27">
        <v>2</v>
      </c>
      <c r="X47" s="27">
        <v>1</v>
      </c>
      <c r="Y47" s="27"/>
      <c r="Z47" s="27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61"/>
      <c r="AP47" s="18"/>
      <c r="AQ47" s="61"/>
      <c r="AR47" s="61"/>
      <c r="AS47" s="81">
        <f>SUM(AS45:AS46)</f>
        <v>9</v>
      </c>
      <c r="AT47" s="81">
        <f>SUM(AT45:AT46)</f>
        <v>11</v>
      </c>
      <c r="AU47" s="80">
        <v>7</v>
      </c>
      <c r="AV47" s="83">
        <v>15</v>
      </c>
      <c r="AW47" s="81">
        <f>SUM(AW45:AW46)</f>
        <v>18</v>
      </c>
      <c r="AX47" s="81">
        <v>11</v>
      </c>
      <c r="AY47" s="81">
        <v>14</v>
      </c>
      <c r="AZ47" s="81">
        <v>15</v>
      </c>
      <c r="BA47" s="81">
        <v>30</v>
      </c>
      <c r="BB47" s="81">
        <v>20</v>
      </c>
      <c r="BC47" s="81">
        <v>23</v>
      </c>
      <c r="BD47" s="81">
        <v>20</v>
      </c>
      <c r="BE47" s="81">
        <v>7</v>
      </c>
      <c r="BF47" s="81">
        <v>16</v>
      </c>
      <c r="BG47" s="81">
        <v>17</v>
      </c>
      <c r="BH47" s="81">
        <v>11</v>
      </c>
      <c r="BI47" s="81">
        <v>15</v>
      </c>
      <c r="BJ47" s="81">
        <v>22</v>
      </c>
    </row>
    <row r="48" spans="1:62" ht="15" customHeight="1" outlineLevel="1" x14ac:dyDescent="0.2">
      <c r="A48" s="56"/>
      <c r="B48" s="6" t="s">
        <v>49</v>
      </c>
      <c r="C48" s="28">
        <v>738</v>
      </c>
      <c r="D48" s="28">
        <v>574</v>
      </c>
      <c r="E48" s="28">
        <v>284</v>
      </c>
      <c r="F48" s="28">
        <v>306</v>
      </c>
      <c r="G48" s="28">
        <v>289</v>
      </c>
      <c r="H48" s="28">
        <v>276</v>
      </c>
      <c r="I48" s="28">
        <v>308</v>
      </c>
      <c r="J48" s="28">
        <v>286</v>
      </c>
      <c r="K48" s="28">
        <v>379</v>
      </c>
      <c r="L48" s="28">
        <v>396</v>
      </c>
      <c r="M48" s="28">
        <v>359</v>
      </c>
      <c r="N48" s="28">
        <v>415</v>
      </c>
      <c r="O48" s="28">
        <v>518</v>
      </c>
      <c r="P48" s="28">
        <v>512</v>
      </c>
      <c r="Q48" s="28">
        <v>392</v>
      </c>
      <c r="R48" s="28">
        <v>436</v>
      </c>
      <c r="S48" s="28">
        <v>473</v>
      </c>
      <c r="T48" s="28">
        <v>450</v>
      </c>
      <c r="U48" s="28">
        <v>426</v>
      </c>
      <c r="V48" s="28">
        <v>404</v>
      </c>
      <c r="W48" s="28">
        <v>410</v>
      </c>
      <c r="X48" s="28">
        <v>374</v>
      </c>
      <c r="Y48" s="28">
        <v>359</v>
      </c>
      <c r="Z48" s="28">
        <v>351</v>
      </c>
      <c r="AA48" s="7">
        <v>404</v>
      </c>
      <c r="AB48" s="7">
        <v>403</v>
      </c>
      <c r="AC48" s="7">
        <v>339</v>
      </c>
      <c r="AD48" s="7">
        <v>325</v>
      </c>
      <c r="AE48" s="7">
        <v>369</v>
      </c>
      <c r="AF48" s="7">
        <v>368</v>
      </c>
      <c r="AG48" s="7">
        <v>297</v>
      </c>
      <c r="AH48" s="7">
        <v>287</v>
      </c>
      <c r="AI48" s="7">
        <v>319</v>
      </c>
      <c r="AJ48" s="7">
        <v>289</v>
      </c>
      <c r="AK48" s="7">
        <v>272</v>
      </c>
      <c r="AL48" s="7">
        <v>250</v>
      </c>
      <c r="AM48" s="7">
        <v>265</v>
      </c>
      <c r="AN48" s="7">
        <v>292</v>
      </c>
      <c r="AO48" s="7">
        <v>286</v>
      </c>
      <c r="AP48" s="7">
        <v>273</v>
      </c>
      <c r="AQ48" s="7">
        <v>297</v>
      </c>
      <c r="AR48" s="7">
        <v>335</v>
      </c>
      <c r="AS48" s="7">
        <v>301</v>
      </c>
      <c r="AT48" s="7">
        <v>298</v>
      </c>
      <c r="AU48" s="7">
        <v>323</v>
      </c>
      <c r="AV48" s="7">
        <v>296</v>
      </c>
      <c r="AW48" s="7">
        <v>264</v>
      </c>
      <c r="AX48" s="7">
        <v>258</v>
      </c>
      <c r="AY48" s="7">
        <v>271</v>
      </c>
      <c r="AZ48" s="7">
        <v>270</v>
      </c>
      <c r="BA48" s="7">
        <v>339</v>
      </c>
      <c r="BB48" s="7">
        <v>367</v>
      </c>
      <c r="BC48" s="7">
        <v>471</v>
      </c>
      <c r="BD48" s="7">
        <v>507</v>
      </c>
      <c r="BE48" s="7">
        <v>537</v>
      </c>
      <c r="BF48" s="7">
        <v>623</v>
      </c>
      <c r="BG48" s="7">
        <v>636</v>
      </c>
      <c r="BH48" s="7">
        <v>660</v>
      </c>
      <c r="BI48" s="7">
        <v>506</v>
      </c>
      <c r="BJ48" s="7">
        <v>477</v>
      </c>
    </row>
    <row r="49" spans="1:62" ht="15" customHeight="1" outlineLevel="1" x14ac:dyDescent="0.2">
      <c r="A49" s="56"/>
      <c r="B49" s="16" t="s">
        <v>59</v>
      </c>
      <c r="C49" s="21">
        <f t="shared" ref="C49:BI49" si="8">SUM(C53,C56,C58)</f>
        <v>327</v>
      </c>
      <c r="D49" s="21">
        <f t="shared" si="8"/>
        <v>190</v>
      </c>
      <c r="E49" s="21">
        <f t="shared" si="8"/>
        <v>231</v>
      </c>
      <c r="F49" s="21">
        <f t="shared" si="8"/>
        <v>130</v>
      </c>
      <c r="G49" s="21">
        <f t="shared" si="8"/>
        <v>404</v>
      </c>
      <c r="H49" s="21">
        <f t="shared" si="8"/>
        <v>345</v>
      </c>
      <c r="I49" s="21">
        <f t="shared" si="8"/>
        <v>363</v>
      </c>
      <c r="J49" s="21">
        <f t="shared" si="8"/>
        <v>311</v>
      </c>
      <c r="K49" s="21">
        <f t="shared" si="8"/>
        <v>404</v>
      </c>
      <c r="L49" s="21">
        <f t="shared" si="8"/>
        <v>370</v>
      </c>
      <c r="M49" s="21">
        <f t="shared" si="8"/>
        <v>341</v>
      </c>
      <c r="N49" s="21">
        <f t="shared" si="8"/>
        <v>379</v>
      </c>
      <c r="O49" s="21">
        <f t="shared" si="8"/>
        <v>357</v>
      </c>
      <c r="P49" s="21">
        <f t="shared" si="8"/>
        <v>309</v>
      </c>
      <c r="Q49" s="21">
        <f t="shared" si="8"/>
        <v>301</v>
      </c>
      <c r="R49" s="21">
        <f t="shared" si="8"/>
        <v>414</v>
      </c>
      <c r="S49" s="21">
        <f t="shared" si="8"/>
        <v>371</v>
      </c>
      <c r="T49" s="21">
        <f t="shared" si="8"/>
        <v>337</v>
      </c>
      <c r="U49" s="21">
        <f t="shared" si="8"/>
        <v>351</v>
      </c>
      <c r="V49" s="21">
        <f t="shared" si="8"/>
        <v>370</v>
      </c>
      <c r="W49" s="21">
        <f t="shared" si="8"/>
        <v>388</v>
      </c>
      <c r="X49" s="21">
        <f t="shared" si="8"/>
        <v>300</v>
      </c>
      <c r="Y49" s="21">
        <f t="shared" si="8"/>
        <v>401</v>
      </c>
      <c r="Z49" s="21">
        <f t="shared" si="8"/>
        <v>384</v>
      </c>
      <c r="AA49" s="21">
        <f t="shared" si="8"/>
        <v>337</v>
      </c>
      <c r="AB49" s="21">
        <f t="shared" si="8"/>
        <v>366</v>
      </c>
      <c r="AC49" s="21">
        <f t="shared" si="8"/>
        <v>352</v>
      </c>
      <c r="AD49" s="21">
        <f t="shared" si="8"/>
        <v>343</v>
      </c>
      <c r="AE49" s="21">
        <f t="shared" si="8"/>
        <v>348</v>
      </c>
      <c r="AF49" s="21">
        <f t="shared" si="8"/>
        <v>330</v>
      </c>
      <c r="AG49" s="21">
        <f t="shared" si="8"/>
        <v>376</v>
      </c>
      <c r="AH49" s="21">
        <f t="shared" si="8"/>
        <v>353</v>
      </c>
      <c r="AI49" s="21">
        <f t="shared" si="8"/>
        <v>239</v>
      </c>
      <c r="AJ49" s="21">
        <f t="shared" si="8"/>
        <v>329</v>
      </c>
      <c r="AK49" s="21">
        <f t="shared" si="8"/>
        <v>432</v>
      </c>
      <c r="AL49" s="21">
        <f t="shared" si="8"/>
        <v>358</v>
      </c>
      <c r="AM49" s="21">
        <f t="shared" si="8"/>
        <v>383</v>
      </c>
      <c r="AN49" s="21">
        <f t="shared" si="8"/>
        <v>399</v>
      </c>
      <c r="AO49" s="21">
        <f t="shared" si="8"/>
        <v>435</v>
      </c>
      <c r="AP49" s="21">
        <f t="shared" si="8"/>
        <v>448</v>
      </c>
      <c r="AQ49" s="21">
        <f t="shared" si="8"/>
        <v>420</v>
      </c>
      <c r="AR49" s="21">
        <f t="shared" si="8"/>
        <v>310</v>
      </c>
      <c r="AS49" s="21">
        <f t="shared" si="8"/>
        <v>430</v>
      </c>
      <c r="AT49" s="21">
        <f t="shared" si="8"/>
        <v>467</v>
      </c>
      <c r="AU49" s="21">
        <f t="shared" si="8"/>
        <v>441</v>
      </c>
      <c r="AV49" s="21">
        <f t="shared" si="8"/>
        <v>343</v>
      </c>
      <c r="AW49" s="21">
        <f t="shared" si="8"/>
        <v>482</v>
      </c>
      <c r="AX49" s="21">
        <f t="shared" si="8"/>
        <v>428</v>
      </c>
      <c r="AY49" s="21">
        <f t="shared" si="8"/>
        <v>383</v>
      </c>
      <c r="AZ49" s="21">
        <f t="shared" si="8"/>
        <v>493</v>
      </c>
      <c r="BA49" s="21">
        <f t="shared" si="8"/>
        <v>467</v>
      </c>
      <c r="BB49" s="21">
        <f t="shared" si="8"/>
        <v>403</v>
      </c>
      <c r="BC49" s="21">
        <f t="shared" si="8"/>
        <v>389</v>
      </c>
      <c r="BD49" s="21">
        <f t="shared" si="8"/>
        <v>495</v>
      </c>
      <c r="BE49" s="21">
        <f t="shared" si="8"/>
        <v>330</v>
      </c>
      <c r="BF49" s="21">
        <f t="shared" si="8"/>
        <v>321</v>
      </c>
      <c r="BG49" s="21">
        <f t="shared" si="8"/>
        <v>428</v>
      </c>
      <c r="BH49" s="21">
        <f t="shared" si="8"/>
        <v>366</v>
      </c>
      <c r="BI49" s="21">
        <f t="shared" si="8"/>
        <v>333</v>
      </c>
      <c r="BJ49" s="21">
        <f>SUM(BJ53,BJ56,BJ58)</f>
        <v>356</v>
      </c>
    </row>
    <row r="50" spans="1:62" ht="15" customHeight="1" outlineLevel="1" x14ac:dyDescent="0.2">
      <c r="A50" s="56"/>
      <c r="B50" s="52" t="s">
        <v>50</v>
      </c>
      <c r="C50" s="25">
        <v>71</v>
      </c>
      <c r="D50" s="25">
        <v>78</v>
      </c>
      <c r="E50" s="25">
        <v>111</v>
      </c>
      <c r="F50" s="25">
        <v>11</v>
      </c>
      <c r="G50" s="25">
        <v>86</v>
      </c>
      <c r="H50" s="25">
        <v>102</v>
      </c>
      <c r="I50" s="25">
        <v>99</v>
      </c>
      <c r="J50" s="25">
        <v>46</v>
      </c>
      <c r="K50" s="25">
        <v>81</v>
      </c>
      <c r="L50" s="25">
        <v>111</v>
      </c>
      <c r="M50" s="25">
        <v>95</v>
      </c>
      <c r="N50" s="25">
        <v>61</v>
      </c>
      <c r="O50" s="25">
        <v>85</v>
      </c>
      <c r="P50" s="25">
        <v>102</v>
      </c>
      <c r="Q50" s="25">
        <v>85</v>
      </c>
      <c r="R50" s="25">
        <v>42</v>
      </c>
      <c r="S50" s="25">
        <v>97</v>
      </c>
      <c r="T50" s="25">
        <v>81</v>
      </c>
      <c r="U50" s="25">
        <v>55</v>
      </c>
      <c r="V50" s="25">
        <v>43</v>
      </c>
      <c r="W50" s="25">
        <v>104</v>
      </c>
      <c r="X50" s="25">
        <v>64</v>
      </c>
      <c r="Y50" s="25">
        <v>100</v>
      </c>
      <c r="Z50" s="25">
        <v>22</v>
      </c>
      <c r="AA50" s="3">
        <v>59</v>
      </c>
      <c r="AB50" s="3">
        <v>85</v>
      </c>
      <c r="AC50" s="3">
        <v>91</v>
      </c>
      <c r="AD50" s="3">
        <v>29</v>
      </c>
      <c r="AE50" s="3">
        <v>106</v>
      </c>
      <c r="AF50" s="3">
        <v>30</v>
      </c>
      <c r="AG50" s="3">
        <v>68</v>
      </c>
      <c r="AH50" s="3">
        <v>62</v>
      </c>
      <c r="AI50" s="3">
        <v>9</v>
      </c>
      <c r="AJ50" s="3">
        <v>83</v>
      </c>
      <c r="AK50" s="3">
        <v>160</v>
      </c>
      <c r="AL50" s="3">
        <v>106</v>
      </c>
      <c r="AM50" s="3">
        <v>84</v>
      </c>
      <c r="AN50" s="25">
        <v>141</v>
      </c>
      <c r="AO50" s="25">
        <v>168</v>
      </c>
      <c r="AP50" s="25">
        <v>126</v>
      </c>
      <c r="AQ50" s="25">
        <v>41</v>
      </c>
      <c r="AR50" s="25">
        <v>95</v>
      </c>
      <c r="AS50" s="25">
        <v>112</v>
      </c>
      <c r="AT50" s="25">
        <v>115</v>
      </c>
      <c r="AU50" s="25">
        <v>79</v>
      </c>
      <c r="AV50" s="25">
        <v>76</v>
      </c>
      <c r="AW50" s="25">
        <v>140</v>
      </c>
      <c r="AX50" s="25">
        <v>110</v>
      </c>
      <c r="AY50" s="25">
        <v>64</v>
      </c>
      <c r="AZ50" s="25">
        <v>136</v>
      </c>
      <c r="BA50" s="25">
        <v>149</v>
      </c>
      <c r="BB50" s="25">
        <v>161</v>
      </c>
      <c r="BC50" s="25">
        <v>87</v>
      </c>
      <c r="BD50" s="25">
        <v>182</v>
      </c>
      <c r="BE50" s="25">
        <v>135</v>
      </c>
      <c r="BF50" s="25">
        <v>90</v>
      </c>
      <c r="BG50" s="25">
        <v>144</v>
      </c>
      <c r="BH50" s="25">
        <v>92</v>
      </c>
      <c r="BI50" s="25">
        <v>149</v>
      </c>
      <c r="BJ50" s="25">
        <v>67</v>
      </c>
    </row>
    <row r="51" spans="1:62" ht="15" customHeight="1" outlineLevel="1" x14ac:dyDescent="0.2">
      <c r="A51" s="56"/>
      <c r="B51" s="52" t="s">
        <v>52</v>
      </c>
      <c r="C51" s="25">
        <v>35</v>
      </c>
      <c r="D51" s="25">
        <v>36</v>
      </c>
      <c r="E51" s="25">
        <v>50</v>
      </c>
      <c r="F51" s="25">
        <v>3</v>
      </c>
      <c r="G51" s="25">
        <v>30</v>
      </c>
      <c r="H51" s="25">
        <v>49</v>
      </c>
      <c r="I51" s="25">
        <v>62</v>
      </c>
      <c r="J51" s="25">
        <v>62</v>
      </c>
      <c r="K51" s="25">
        <v>16</v>
      </c>
      <c r="L51" s="25">
        <v>54</v>
      </c>
      <c r="M51" s="25">
        <v>69</v>
      </c>
      <c r="N51" s="25">
        <v>97</v>
      </c>
      <c r="O51" s="25">
        <v>27</v>
      </c>
      <c r="P51" s="25">
        <v>60</v>
      </c>
      <c r="Q51" s="25">
        <v>76</v>
      </c>
      <c r="R51" s="25">
        <v>110</v>
      </c>
      <c r="S51" s="25">
        <v>33</v>
      </c>
      <c r="T51" s="25">
        <v>78</v>
      </c>
      <c r="U51" s="25">
        <v>97</v>
      </c>
      <c r="V51" s="25">
        <v>99</v>
      </c>
      <c r="W51" s="25">
        <v>33</v>
      </c>
      <c r="X51" s="25">
        <v>100</v>
      </c>
      <c r="Y51" s="25">
        <v>62</v>
      </c>
      <c r="Z51" s="25">
        <v>113</v>
      </c>
      <c r="AA51" s="3">
        <v>39</v>
      </c>
      <c r="AB51" s="3">
        <v>76</v>
      </c>
      <c r="AC51" s="3">
        <v>67</v>
      </c>
      <c r="AD51" s="3">
        <v>113</v>
      </c>
      <c r="AE51" s="3">
        <v>24</v>
      </c>
      <c r="AF51" s="3">
        <v>119</v>
      </c>
      <c r="AG51" s="3">
        <v>92</v>
      </c>
      <c r="AH51" s="3">
        <v>90</v>
      </c>
      <c r="AI51" s="3">
        <v>0</v>
      </c>
      <c r="AJ51" s="3">
        <v>20</v>
      </c>
      <c r="AK51" s="3">
        <v>7</v>
      </c>
      <c r="AL51" s="3">
        <v>0</v>
      </c>
      <c r="AM51" s="3">
        <v>53</v>
      </c>
      <c r="AN51" s="25">
        <v>25</v>
      </c>
      <c r="AO51" s="25">
        <v>7</v>
      </c>
      <c r="AP51" s="25">
        <v>35</v>
      </c>
      <c r="AQ51" s="25">
        <v>94</v>
      </c>
      <c r="AR51" s="25">
        <v>32</v>
      </c>
      <c r="AS51" s="25">
        <v>45</v>
      </c>
      <c r="AT51" s="25">
        <v>47</v>
      </c>
      <c r="AU51" s="25">
        <v>66</v>
      </c>
      <c r="AV51" s="25">
        <v>49</v>
      </c>
      <c r="AW51" s="25">
        <v>31</v>
      </c>
      <c r="AX51" s="25">
        <v>49</v>
      </c>
      <c r="AY51" s="25">
        <v>41</v>
      </c>
      <c r="AZ51" s="25">
        <v>32</v>
      </c>
      <c r="BA51" s="25">
        <v>21</v>
      </c>
      <c r="BB51" s="25">
        <v>6</v>
      </c>
      <c r="BC51" s="25">
        <v>28</v>
      </c>
      <c r="BD51" s="25">
        <v>0</v>
      </c>
      <c r="BE51" s="25">
        <v>0</v>
      </c>
      <c r="BF51" s="25">
        <v>8</v>
      </c>
      <c r="BG51" s="25">
        <v>8</v>
      </c>
      <c r="BH51" s="25">
        <v>14</v>
      </c>
      <c r="BI51" s="25">
        <v>1</v>
      </c>
      <c r="BJ51" s="25">
        <v>14</v>
      </c>
    </row>
    <row r="52" spans="1:62" ht="15" customHeight="1" outlineLevel="1" x14ac:dyDescent="0.2">
      <c r="A52" s="56"/>
      <c r="B52" s="52" t="s">
        <v>62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8</v>
      </c>
      <c r="AM52" s="3">
        <v>0</v>
      </c>
      <c r="AN52" s="3">
        <v>6</v>
      </c>
      <c r="AO52" s="3">
        <v>0</v>
      </c>
      <c r="AP52" s="3">
        <v>6</v>
      </c>
      <c r="AQ52" s="3">
        <v>0</v>
      </c>
      <c r="AR52" s="3">
        <v>3</v>
      </c>
      <c r="AS52" s="3">
        <v>4</v>
      </c>
      <c r="AT52" s="3">
        <v>4</v>
      </c>
      <c r="AU52" s="3">
        <v>0</v>
      </c>
      <c r="AV52" s="25">
        <v>2</v>
      </c>
      <c r="AW52" s="25">
        <v>11</v>
      </c>
      <c r="AX52" s="25">
        <v>2</v>
      </c>
      <c r="AY52" s="25">
        <v>0</v>
      </c>
      <c r="AZ52" s="25">
        <v>4</v>
      </c>
      <c r="BA52" s="25">
        <v>5</v>
      </c>
      <c r="BB52" s="25">
        <v>2</v>
      </c>
      <c r="BC52" s="25">
        <v>0</v>
      </c>
      <c r="BD52" s="25">
        <v>0</v>
      </c>
      <c r="BE52" s="25">
        <v>2</v>
      </c>
      <c r="BF52" s="25">
        <v>2</v>
      </c>
      <c r="BG52" s="25">
        <v>5</v>
      </c>
      <c r="BH52" s="25">
        <v>0</v>
      </c>
      <c r="BI52" s="25">
        <v>0</v>
      </c>
      <c r="BJ52" s="25">
        <v>2</v>
      </c>
    </row>
    <row r="53" spans="1:62" ht="15" customHeight="1" outlineLevel="1" x14ac:dyDescent="0.2">
      <c r="A53" s="56"/>
      <c r="B53" s="78" t="s">
        <v>209</v>
      </c>
      <c r="C53" s="81">
        <f t="shared" ref="C53:AW53" si="9">SUM(C50:C52)</f>
        <v>106</v>
      </c>
      <c r="D53" s="81">
        <f t="shared" si="9"/>
        <v>114</v>
      </c>
      <c r="E53" s="81">
        <f t="shared" si="9"/>
        <v>161</v>
      </c>
      <c r="F53" s="81">
        <f t="shared" si="9"/>
        <v>14</v>
      </c>
      <c r="G53" s="81">
        <f t="shared" si="9"/>
        <v>116</v>
      </c>
      <c r="H53" s="81">
        <f t="shared" si="9"/>
        <v>151</v>
      </c>
      <c r="I53" s="81">
        <f t="shared" si="9"/>
        <v>161</v>
      </c>
      <c r="J53" s="81">
        <f t="shared" si="9"/>
        <v>108</v>
      </c>
      <c r="K53" s="81">
        <f t="shared" si="9"/>
        <v>97</v>
      </c>
      <c r="L53" s="81">
        <f t="shared" si="9"/>
        <v>165</v>
      </c>
      <c r="M53" s="81">
        <f t="shared" si="9"/>
        <v>164</v>
      </c>
      <c r="N53" s="81">
        <f t="shared" si="9"/>
        <v>158</v>
      </c>
      <c r="O53" s="81">
        <f t="shared" si="9"/>
        <v>112</v>
      </c>
      <c r="P53" s="81">
        <f t="shared" si="9"/>
        <v>162</v>
      </c>
      <c r="Q53" s="81">
        <f t="shared" si="9"/>
        <v>161</v>
      </c>
      <c r="R53" s="81">
        <f t="shared" si="9"/>
        <v>152</v>
      </c>
      <c r="S53" s="81">
        <f t="shared" si="9"/>
        <v>130</v>
      </c>
      <c r="T53" s="81">
        <f t="shared" si="9"/>
        <v>159</v>
      </c>
      <c r="U53" s="81">
        <f t="shared" si="9"/>
        <v>152</v>
      </c>
      <c r="V53" s="81">
        <f t="shared" si="9"/>
        <v>142</v>
      </c>
      <c r="W53" s="81">
        <f t="shared" si="9"/>
        <v>137</v>
      </c>
      <c r="X53" s="81">
        <f t="shared" si="9"/>
        <v>164</v>
      </c>
      <c r="Y53" s="81">
        <f t="shared" si="9"/>
        <v>162</v>
      </c>
      <c r="Z53" s="81">
        <f t="shared" si="9"/>
        <v>135</v>
      </c>
      <c r="AA53" s="81">
        <f t="shared" si="9"/>
        <v>98</v>
      </c>
      <c r="AB53" s="81">
        <f t="shared" si="9"/>
        <v>161</v>
      </c>
      <c r="AC53" s="81">
        <f t="shared" si="9"/>
        <v>158</v>
      </c>
      <c r="AD53" s="81">
        <f t="shared" si="9"/>
        <v>142</v>
      </c>
      <c r="AE53" s="81">
        <f t="shared" si="9"/>
        <v>130</v>
      </c>
      <c r="AF53" s="81">
        <f t="shared" si="9"/>
        <v>149</v>
      </c>
      <c r="AG53" s="81">
        <f t="shared" si="9"/>
        <v>160</v>
      </c>
      <c r="AH53" s="81">
        <f t="shared" si="9"/>
        <v>152</v>
      </c>
      <c r="AI53" s="81">
        <f t="shared" si="9"/>
        <v>9</v>
      </c>
      <c r="AJ53" s="81">
        <f t="shared" si="9"/>
        <v>103</v>
      </c>
      <c r="AK53" s="81">
        <f t="shared" si="9"/>
        <v>167</v>
      </c>
      <c r="AL53" s="81">
        <f t="shared" si="9"/>
        <v>114</v>
      </c>
      <c r="AM53" s="81">
        <f t="shared" si="9"/>
        <v>137</v>
      </c>
      <c r="AN53" s="81">
        <f t="shared" si="9"/>
        <v>172</v>
      </c>
      <c r="AO53" s="81">
        <f t="shared" si="9"/>
        <v>175</v>
      </c>
      <c r="AP53" s="81">
        <f t="shared" si="9"/>
        <v>167</v>
      </c>
      <c r="AQ53" s="81">
        <f t="shared" si="9"/>
        <v>135</v>
      </c>
      <c r="AR53" s="81">
        <f t="shared" si="9"/>
        <v>130</v>
      </c>
      <c r="AS53" s="81">
        <f t="shared" si="9"/>
        <v>161</v>
      </c>
      <c r="AT53" s="81">
        <f t="shared" si="9"/>
        <v>166</v>
      </c>
      <c r="AU53" s="81">
        <f t="shared" si="9"/>
        <v>145</v>
      </c>
      <c r="AV53" s="81">
        <f t="shared" si="9"/>
        <v>127</v>
      </c>
      <c r="AW53" s="81">
        <f t="shared" si="9"/>
        <v>182</v>
      </c>
      <c r="AX53" s="81">
        <f>SUM(AX50:AX52)</f>
        <v>161</v>
      </c>
      <c r="AY53" s="81">
        <v>105</v>
      </c>
      <c r="AZ53" s="81">
        <v>172</v>
      </c>
      <c r="BA53" s="81">
        <v>175</v>
      </c>
      <c r="BB53" s="81">
        <v>169</v>
      </c>
      <c r="BC53" s="81">
        <v>115</v>
      </c>
      <c r="BD53" s="81">
        <v>182</v>
      </c>
      <c r="BE53" s="81">
        <v>137</v>
      </c>
      <c r="BF53" s="81">
        <v>99</v>
      </c>
      <c r="BG53" s="81">
        <v>156</v>
      </c>
      <c r="BH53" s="81">
        <v>106</v>
      </c>
      <c r="BI53" s="81">
        <v>150</v>
      </c>
      <c r="BJ53" s="81">
        <v>83</v>
      </c>
    </row>
    <row r="54" spans="1:62" ht="15" customHeight="1" outlineLevel="1" x14ac:dyDescent="0.2">
      <c r="A54" s="56"/>
      <c r="B54" s="52" t="s">
        <v>55</v>
      </c>
      <c r="C54" s="25">
        <v>16</v>
      </c>
      <c r="D54" s="25">
        <v>5</v>
      </c>
      <c r="E54" s="25">
        <v>11</v>
      </c>
      <c r="F54" s="25">
        <v>29</v>
      </c>
      <c r="G54" s="25">
        <v>93</v>
      </c>
      <c r="H54" s="25">
        <v>58</v>
      </c>
      <c r="I54" s="25">
        <v>47</v>
      </c>
      <c r="J54" s="25">
        <v>54</v>
      </c>
      <c r="K54" s="25">
        <v>88</v>
      </c>
      <c r="L54" s="25">
        <v>41</v>
      </c>
      <c r="M54" s="25">
        <v>25</v>
      </c>
      <c r="N54" s="25">
        <v>49</v>
      </c>
      <c r="O54" s="25">
        <v>56</v>
      </c>
      <c r="P54" s="25">
        <v>17</v>
      </c>
      <c r="Q54" s="25">
        <v>27</v>
      </c>
      <c r="R54" s="25">
        <v>51</v>
      </c>
      <c r="S54" s="25">
        <v>48</v>
      </c>
      <c r="T54" s="25">
        <v>30</v>
      </c>
      <c r="U54" s="25">
        <v>24</v>
      </c>
      <c r="V54" s="25">
        <v>42</v>
      </c>
      <c r="W54" s="25">
        <v>65</v>
      </c>
      <c r="X54" s="25">
        <v>27</v>
      </c>
      <c r="Y54" s="25">
        <v>24</v>
      </c>
      <c r="Z54" s="25">
        <v>47</v>
      </c>
      <c r="AA54" s="3">
        <v>68</v>
      </c>
      <c r="AB54" s="3">
        <v>18</v>
      </c>
      <c r="AC54" s="3">
        <v>16</v>
      </c>
      <c r="AD54" s="3">
        <v>41</v>
      </c>
      <c r="AE54" s="3">
        <v>30</v>
      </c>
      <c r="AF54" s="3">
        <v>28</v>
      </c>
      <c r="AG54" s="3">
        <v>23</v>
      </c>
      <c r="AH54" s="3">
        <v>33</v>
      </c>
      <c r="AI54" s="3">
        <v>59</v>
      </c>
      <c r="AJ54" s="3">
        <v>43</v>
      </c>
      <c r="AK54" s="3">
        <v>32</v>
      </c>
      <c r="AL54" s="3">
        <v>53</v>
      </c>
      <c r="AM54" s="3">
        <v>77</v>
      </c>
      <c r="AN54" s="25">
        <v>46</v>
      </c>
      <c r="AO54" s="25">
        <v>22</v>
      </c>
      <c r="AP54" s="25">
        <v>60</v>
      </c>
      <c r="AQ54" s="25">
        <v>89</v>
      </c>
      <c r="AR54" s="25">
        <v>60</v>
      </c>
      <c r="AS54" s="25">
        <v>27</v>
      </c>
      <c r="AT54" s="25">
        <v>77</v>
      </c>
      <c r="AU54" s="25">
        <v>65</v>
      </c>
      <c r="AV54" s="25">
        <v>41</v>
      </c>
      <c r="AW54" s="25">
        <v>44</v>
      </c>
      <c r="AX54" s="25">
        <v>79</v>
      </c>
      <c r="AY54" s="25">
        <v>87</v>
      </c>
      <c r="AZ54" s="25">
        <v>88</v>
      </c>
      <c r="BA54" s="25">
        <v>75</v>
      </c>
      <c r="BB54" s="25">
        <v>53</v>
      </c>
      <c r="BC54" s="25">
        <v>77</v>
      </c>
      <c r="BD54" s="25">
        <v>10</v>
      </c>
      <c r="BE54" s="25">
        <v>19</v>
      </c>
      <c r="BF54" s="25">
        <v>47</v>
      </c>
      <c r="BG54" s="25">
        <v>59</v>
      </c>
      <c r="BH54" s="25">
        <v>86</v>
      </c>
      <c r="BI54" s="25">
        <v>48</v>
      </c>
      <c r="BJ54" s="25">
        <v>67</v>
      </c>
    </row>
    <row r="55" spans="1:62" ht="15" customHeight="1" outlineLevel="1" x14ac:dyDescent="0.2">
      <c r="A55" s="56"/>
      <c r="B55" s="52" t="s">
        <v>56</v>
      </c>
      <c r="C55" s="25">
        <v>205</v>
      </c>
      <c r="D55" s="25">
        <v>71</v>
      </c>
      <c r="E55" s="25">
        <v>59</v>
      </c>
      <c r="F55" s="25">
        <v>87</v>
      </c>
      <c r="G55" s="25">
        <v>195</v>
      </c>
      <c r="H55" s="25">
        <v>136</v>
      </c>
      <c r="I55" s="25">
        <v>155</v>
      </c>
      <c r="J55" s="25">
        <v>149</v>
      </c>
      <c r="K55" s="25">
        <v>219</v>
      </c>
      <c r="L55" s="25">
        <v>164</v>
      </c>
      <c r="M55" s="25">
        <v>152</v>
      </c>
      <c r="N55" s="25">
        <v>172</v>
      </c>
      <c r="O55" s="25">
        <v>189</v>
      </c>
      <c r="P55" s="25">
        <v>130</v>
      </c>
      <c r="Q55" s="25">
        <v>113</v>
      </c>
      <c r="R55" s="25">
        <v>211</v>
      </c>
      <c r="S55" s="25">
        <v>193</v>
      </c>
      <c r="T55" s="25">
        <v>148</v>
      </c>
      <c r="U55" s="25">
        <v>175</v>
      </c>
      <c r="V55" s="25">
        <v>186</v>
      </c>
      <c r="W55" s="25">
        <v>186</v>
      </c>
      <c r="X55" s="25">
        <v>109</v>
      </c>
      <c r="Y55" s="25">
        <v>215</v>
      </c>
      <c r="Z55" s="25">
        <v>202</v>
      </c>
      <c r="AA55" s="3">
        <v>171</v>
      </c>
      <c r="AB55" s="3">
        <v>187</v>
      </c>
      <c r="AC55" s="3">
        <v>178</v>
      </c>
      <c r="AD55" s="3">
        <v>160</v>
      </c>
      <c r="AE55" s="3">
        <v>188</v>
      </c>
      <c r="AF55" s="3">
        <v>153</v>
      </c>
      <c r="AG55" s="3">
        <v>193</v>
      </c>
      <c r="AH55" s="3">
        <v>168</v>
      </c>
      <c r="AI55" s="3">
        <v>171</v>
      </c>
      <c r="AJ55" s="3">
        <v>183</v>
      </c>
      <c r="AK55" s="3">
        <v>233</v>
      </c>
      <c r="AL55" s="3">
        <v>191</v>
      </c>
      <c r="AM55" s="3">
        <v>169</v>
      </c>
      <c r="AN55" s="25">
        <v>181</v>
      </c>
      <c r="AO55" s="25">
        <v>231</v>
      </c>
      <c r="AP55" s="25">
        <v>218</v>
      </c>
      <c r="AQ55" s="60">
        <v>194</v>
      </c>
      <c r="AR55" s="60">
        <v>118</v>
      </c>
      <c r="AS55" s="60">
        <v>240</v>
      </c>
      <c r="AT55" s="60">
        <v>221</v>
      </c>
      <c r="AU55" s="60">
        <v>225</v>
      </c>
      <c r="AV55" s="25">
        <v>163</v>
      </c>
      <c r="AW55" s="25">
        <v>239</v>
      </c>
      <c r="AX55" s="25">
        <v>188</v>
      </c>
      <c r="AY55" s="25">
        <v>179</v>
      </c>
      <c r="AZ55" s="25">
        <v>220</v>
      </c>
      <c r="BA55" s="25">
        <v>193</v>
      </c>
      <c r="BB55" s="25">
        <v>161</v>
      </c>
      <c r="BC55" s="25">
        <v>179</v>
      </c>
      <c r="BD55" s="25">
        <v>287</v>
      </c>
      <c r="BE55" s="25">
        <v>170</v>
      </c>
      <c r="BF55" s="25">
        <v>156</v>
      </c>
      <c r="BG55" s="25">
        <v>200</v>
      </c>
      <c r="BH55" s="25">
        <v>171</v>
      </c>
      <c r="BI55" s="25">
        <v>129</v>
      </c>
      <c r="BJ55" s="25">
        <v>200</v>
      </c>
    </row>
    <row r="56" spans="1:62" ht="15" customHeight="1" outlineLevel="1" x14ac:dyDescent="0.2">
      <c r="A56" s="56"/>
      <c r="B56" s="78" t="s">
        <v>210</v>
      </c>
      <c r="C56" s="81">
        <f t="shared" ref="C56:AW56" si="10">SUM(C54:C55)</f>
        <v>221</v>
      </c>
      <c r="D56" s="81">
        <f t="shared" si="10"/>
        <v>76</v>
      </c>
      <c r="E56" s="81">
        <f t="shared" si="10"/>
        <v>70</v>
      </c>
      <c r="F56" s="81">
        <f t="shared" si="10"/>
        <v>116</v>
      </c>
      <c r="G56" s="81">
        <f t="shared" si="10"/>
        <v>288</v>
      </c>
      <c r="H56" s="81">
        <f t="shared" si="10"/>
        <v>194</v>
      </c>
      <c r="I56" s="81">
        <f t="shared" si="10"/>
        <v>202</v>
      </c>
      <c r="J56" s="81">
        <f t="shared" si="10"/>
        <v>203</v>
      </c>
      <c r="K56" s="81">
        <f t="shared" si="10"/>
        <v>307</v>
      </c>
      <c r="L56" s="81">
        <f t="shared" si="10"/>
        <v>205</v>
      </c>
      <c r="M56" s="81">
        <f t="shared" si="10"/>
        <v>177</v>
      </c>
      <c r="N56" s="81">
        <f t="shared" si="10"/>
        <v>221</v>
      </c>
      <c r="O56" s="81">
        <f t="shared" si="10"/>
        <v>245</v>
      </c>
      <c r="P56" s="81">
        <f t="shared" si="10"/>
        <v>147</v>
      </c>
      <c r="Q56" s="81">
        <f t="shared" si="10"/>
        <v>140</v>
      </c>
      <c r="R56" s="81">
        <f t="shared" si="10"/>
        <v>262</v>
      </c>
      <c r="S56" s="81">
        <f t="shared" si="10"/>
        <v>241</v>
      </c>
      <c r="T56" s="81">
        <f t="shared" si="10"/>
        <v>178</v>
      </c>
      <c r="U56" s="81">
        <f t="shared" si="10"/>
        <v>199</v>
      </c>
      <c r="V56" s="81">
        <f t="shared" si="10"/>
        <v>228</v>
      </c>
      <c r="W56" s="81">
        <f t="shared" si="10"/>
        <v>251</v>
      </c>
      <c r="X56" s="81">
        <f t="shared" si="10"/>
        <v>136</v>
      </c>
      <c r="Y56" s="81">
        <f t="shared" si="10"/>
        <v>239</v>
      </c>
      <c r="Z56" s="81">
        <f t="shared" si="10"/>
        <v>249</v>
      </c>
      <c r="AA56" s="81">
        <f t="shared" si="10"/>
        <v>239</v>
      </c>
      <c r="AB56" s="81">
        <f t="shared" si="10"/>
        <v>205</v>
      </c>
      <c r="AC56" s="81">
        <f t="shared" si="10"/>
        <v>194</v>
      </c>
      <c r="AD56" s="81">
        <f t="shared" si="10"/>
        <v>201</v>
      </c>
      <c r="AE56" s="81">
        <f t="shared" si="10"/>
        <v>218</v>
      </c>
      <c r="AF56" s="81">
        <f t="shared" si="10"/>
        <v>181</v>
      </c>
      <c r="AG56" s="81">
        <f t="shared" si="10"/>
        <v>216</v>
      </c>
      <c r="AH56" s="81">
        <f t="shared" si="10"/>
        <v>201</v>
      </c>
      <c r="AI56" s="81">
        <f t="shared" si="10"/>
        <v>230</v>
      </c>
      <c r="AJ56" s="67">
        <f t="shared" ref="AJ56:AP56" si="11">SUM(AJ54:AJ55)</f>
        <v>226</v>
      </c>
      <c r="AK56" s="67">
        <f t="shared" si="11"/>
        <v>265</v>
      </c>
      <c r="AL56" s="67">
        <f t="shared" si="11"/>
        <v>244</v>
      </c>
      <c r="AM56" s="67">
        <f t="shared" si="11"/>
        <v>246</v>
      </c>
      <c r="AN56" s="81">
        <f t="shared" si="11"/>
        <v>227</v>
      </c>
      <c r="AO56" s="81">
        <f t="shared" si="11"/>
        <v>253</v>
      </c>
      <c r="AP56" s="81">
        <f t="shared" si="11"/>
        <v>278</v>
      </c>
      <c r="AQ56" s="81">
        <f t="shared" si="10"/>
        <v>283</v>
      </c>
      <c r="AR56" s="81">
        <f t="shared" si="10"/>
        <v>178</v>
      </c>
      <c r="AS56" s="81">
        <f t="shared" si="10"/>
        <v>267</v>
      </c>
      <c r="AT56" s="81">
        <f t="shared" si="10"/>
        <v>298</v>
      </c>
      <c r="AU56" s="81">
        <f t="shared" si="10"/>
        <v>290</v>
      </c>
      <c r="AV56" s="81">
        <f t="shared" si="10"/>
        <v>204</v>
      </c>
      <c r="AW56" s="81">
        <f t="shared" si="10"/>
        <v>283</v>
      </c>
      <c r="AX56" s="81">
        <f>SUM(AX54:AX55)</f>
        <v>267</v>
      </c>
      <c r="AY56" s="81">
        <v>266</v>
      </c>
      <c r="AZ56" s="81">
        <v>308</v>
      </c>
      <c r="BA56" s="81">
        <v>268</v>
      </c>
      <c r="BB56" s="81">
        <v>214</v>
      </c>
      <c r="BC56" s="81">
        <v>256</v>
      </c>
      <c r="BD56" s="81">
        <v>297</v>
      </c>
      <c r="BE56" s="81">
        <v>189</v>
      </c>
      <c r="BF56" s="81">
        <v>203</v>
      </c>
      <c r="BG56" s="81">
        <v>259</v>
      </c>
      <c r="BH56" s="81">
        <v>257</v>
      </c>
      <c r="BI56" s="81">
        <v>177</v>
      </c>
      <c r="BJ56" s="81">
        <v>267</v>
      </c>
    </row>
    <row r="57" spans="1:62" ht="15" customHeight="1" outlineLevel="1" x14ac:dyDescent="0.2">
      <c r="A57" s="56"/>
      <c r="B57" s="52" t="s">
        <v>190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>
        <v>7</v>
      </c>
      <c r="AP57" s="3">
        <v>3</v>
      </c>
      <c r="AQ57" s="3">
        <v>2</v>
      </c>
      <c r="AR57" s="3">
        <v>2</v>
      </c>
      <c r="AS57" s="3">
        <v>2</v>
      </c>
      <c r="AT57" s="3">
        <v>3</v>
      </c>
      <c r="AU57" s="3">
        <v>4</v>
      </c>
      <c r="AV57" s="25">
        <v>8</v>
      </c>
      <c r="AW57" s="25">
        <v>13</v>
      </c>
      <c r="AX57" s="25">
        <v>0</v>
      </c>
      <c r="AY57" s="25">
        <v>7</v>
      </c>
      <c r="AZ57" s="25">
        <v>8</v>
      </c>
      <c r="BA57" s="25">
        <v>20</v>
      </c>
      <c r="BB57" s="25">
        <v>13</v>
      </c>
      <c r="BC57" s="25">
        <v>15</v>
      </c>
      <c r="BD57" s="25">
        <v>13</v>
      </c>
      <c r="BE57" s="25">
        <v>0</v>
      </c>
      <c r="BF57" s="25">
        <v>6</v>
      </c>
      <c r="BG57" s="25">
        <v>6</v>
      </c>
      <c r="BH57" s="25">
        <v>0</v>
      </c>
      <c r="BI57" s="25">
        <v>2</v>
      </c>
      <c r="BJ57" s="25">
        <v>0</v>
      </c>
    </row>
    <row r="58" spans="1:62" ht="15" customHeight="1" outlineLevel="1" x14ac:dyDescent="0.2">
      <c r="A58" s="56"/>
      <c r="B58" s="79" t="s">
        <v>211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>
        <v>7</v>
      </c>
      <c r="AP58" s="81">
        <v>3</v>
      </c>
      <c r="AQ58" s="81">
        <v>2</v>
      </c>
      <c r="AR58" s="81">
        <v>2</v>
      </c>
      <c r="AS58" s="81">
        <v>2</v>
      </c>
      <c r="AT58" s="81">
        <v>3</v>
      </c>
      <c r="AU58" s="67">
        <v>6</v>
      </c>
      <c r="AV58" s="81">
        <v>12</v>
      </c>
      <c r="AW58" s="81">
        <v>17</v>
      </c>
      <c r="AX58" s="81">
        <f>SUM(AX57)</f>
        <v>0</v>
      </c>
      <c r="AY58" s="81">
        <v>12</v>
      </c>
      <c r="AZ58" s="81">
        <v>13</v>
      </c>
      <c r="BA58" s="81">
        <v>24</v>
      </c>
      <c r="BB58" s="81">
        <v>20</v>
      </c>
      <c r="BC58" s="81">
        <v>18</v>
      </c>
      <c r="BD58" s="81">
        <v>16</v>
      </c>
      <c r="BE58" s="81">
        <v>4</v>
      </c>
      <c r="BF58" s="81">
        <v>19</v>
      </c>
      <c r="BG58" s="81">
        <v>13</v>
      </c>
      <c r="BH58" s="81">
        <v>3</v>
      </c>
      <c r="BI58" s="81">
        <v>6</v>
      </c>
      <c r="BJ58" s="81">
        <v>6</v>
      </c>
    </row>
    <row r="59" spans="1:62" ht="15" customHeight="1" outlineLevel="1" x14ac:dyDescent="0.2">
      <c r="A59" s="56"/>
      <c r="B59" s="6" t="s">
        <v>57</v>
      </c>
      <c r="C59" s="23">
        <v>0.76</v>
      </c>
      <c r="D59" s="23">
        <v>0.45</v>
      </c>
      <c r="E59" s="23">
        <v>0.55000000000000004</v>
      </c>
      <c r="F59" s="23">
        <v>0.3</v>
      </c>
      <c r="G59" s="23">
        <v>0.97</v>
      </c>
      <c r="H59" s="23">
        <v>0.84</v>
      </c>
      <c r="I59" s="23">
        <v>0.88</v>
      </c>
      <c r="J59" s="23">
        <v>0.77</v>
      </c>
      <c r="K59" s="23">
        <v>0.96</v>
      </c>
      <c r="L59" s="23">
        <v>0.9</v>
      </c>
      <c r="M59" s="23">
        <v>0.71</v>
      </c>
      <c r="N59" s="23">
        <v>0.88</v>
      </c>
      <c r="O59" s="23">
        <v>0.78</v>
      </c>
      <c r="P59" s="23">
        <v>0.69</v>
      </c>
      <c r="Q59" s="23">
        <v>0.69</v>
      </c>
      <c r="R59" s="23">
        <v>0.94</v>
      </c>
      <c r="S59" s="23">
        <v>0.81</v>
      </c>
      <c r="T59" s="23">
        <v>0.77</v>
      </c>
      <c r="U59" s="23">
        <v>0.8</v>
      </c>
      <c r="V59" s="23">
        <v>0.83</v>
      </c>
      <c r="W59" s="23">
        <v>0.86</v>
      </c>
      <c r="X59" s="23">
        <v>0.7</v>
      </c>
      <c r="Y59" s="23">
        <v>0.89</v>
      </c>
      <c r="Z59" s="23">
        <v>0.88</v>
      </c>
      <c r="AA59" s="23">
        <v>0.75</v>
      </c>
      <c r="AB59" s="23">
        <v>0.81</v>
      </c>
      <c r="AC59" s="23">
        <v>0.78</v>
      </c>
      <c r="AD59" s="23">
        <v>0.79</v>
      </c>
      <c r="AE59" s="23">
        <v>0.79</v>
      </c>
      <c r="AF59" s="23">
        <v>0.74</v>
      </c>
      <c r="AG59" s="23">
        <v>0.83</v>
      </c>
      <c r="AH59" s="23">
        <v>0.76</v>
      </c>
      <c r="AI59" s="23">
        <v>0.55000000000000004</v>
      </c>
      <c r="AJ59" s="23">
        <v>0.6</v>
      </c>
      <c r="AK59" s="23">
        <v>0.88</v>
      </c>
      <c r="AL59" s="58">
        <v>0.7</v>
      </c>
      <c r="AM59" s="58">
        <v>0.8</v>
      </c>
      <c r="AN59" s="23">
        <v>0.79</v>
      </c>
      <c r="AO59" s="23">
        <v>0.88</v>
      </c>
      <c r="AP59" s="23">
        <v>0.92</v>
      </c>
      <c r="AQ59" s="23">
        <v>0.89</v>
      </c>
      <c r="AR59" s="23">
        <v>0.65</v>
      </c>
      <c r="AS59" s="23">
        <v>0.88</v>
      </c>
      <c r="AT59" s="23">
        <v>0.95</v>
      </c>
      <c r="AU59" s="23">
        <v>0.9</v>
      </c>
      <c r="AV59" s="23">
        <v>0.7</v>
      </c>
      <c r="AW59" s="23">
        <v>0.98</v>
      </c>
      <c r="AX59" s="23">
        <v>0.85</v>
      </c>
      <c r="AY59" s="23">
        <v>0.77</v>
      </c>
      <c r="AZ59" s="23">
        <v>0.98</v>
      </c>
      <c r="BA59" s="23">
        <v>0.94</v>
      </c>
      <c r="BB59" s="23">
        <v>0.8</v>
      </c>
      <c r="BC59" s="23">
        <v>0.79</v>
      </c>
      <c r="BD59" s="23">
        <v>0.99</v>
      </c>
      <c r="BE59" s="23">
        <v>0.66</v>
      </c>
      <c r="BF59" s="23">
        <v>0.63</v>
      </c>
      <c r="BG59" s="23">
        <v>0.86</v>
      </c>
      <c r="BH59" s="23">
        <v>0.76</v>
      </c>
      <c r="BI59" s="23">
        <v>0.67</v>
      </c>
      <c r="BJ59" s="23">
        <v>0.74</v>
      </c>
    </row>
    <row r="60" spans="1:62" ht="15" customHeight="1" outlineLevel="1" x14ac:dyDescent="0.2">
      <c r="A60" s="56"/>
      <c r="B60" s="16" t="s">
        <v>60</v>
      </c>
      <c r="C60" s="21">
        <f t="shared" ref="C60:BI60" si="12">SUM(C65,C68,C69)</f>
        <v>43</v>
      </c>
      <c r="D60" s="21">
        <f t="shared" si="12"/>
        <v>60</v>
      </c>
      <c r="E60" s="21">
        <f t="shared" si="12"/>
        <v>126</v>
      </c>
      <c r="F60" s="21">
        <f t="shared" si="12"/>
        <v>134</v>
      </c>
      <c r="G60" s="21">
        <f t="shared" si="12"/>
        <v>80</v>
      </c>
      <c r="H60" s="21">
        <f t="shared" si="12"/>
        <v>223</v>
      </c>
      <c r="I60" s="21">
        <f t="shared" si="12"/>
        <v>70</v>
      </c>
      <c r="J60" s="21">
        <f t="shared" si="12"/>
        <v>48</v>
      </c>
      <c r="K60" s="21">
        <f t="shared" si="12"/>
        <v>41</v>
      </c>
      <c r="L60" s="21">
        <f t="shared" si="12"/>
        <v>78</v>
      </c>
      <c r="M60" s="21">
        <f t="shared" si="12"/>
        <v>58</v>
      </c>
      <c r="N60" s="21">
        <f t="shared" si="12"/>
        <v>66</v>
      </c>
      <c r="O60" s="21">
        <f t="shared" si="12"/>
        <v>27</v>
      </c>
      <c r="P60" s="21">
        <f t="shared" si="12"/>
        <v>68</v>
      </c>
      <c r="Q60" s="21">
        <f t="shared" si="12"/>
        <v>67</v>
      </c>
      <c r="R60" s="21">
        <f t="shared" si="12"/>
        <v>56</v>
      </c>
      <c r="S60" s="21">
        <f t="shared" si="12"/>
        <v>9</v>
      </c>
      <c r="T60" s="21">
        <f t="shared" si="12"/>
        <v>41</v>
      </c>
      <c r="U60" s="21">
        <f t="shared" si="12"/>
        <v>33</v>
      </c>
      <c r="V60" s="21">
        <f t="shared" si="12"/>
        <v>76</v>
      </c>
      <c r="W60" s="21">
        <f t="shared" si="12"/>
        <v>20</v>
      </c>
      <c r="X60" s="21">
        <f t="shared" si="12"/>
        <v>59</v>
      </c>
      <c r="Y60" s="21">
        <f t="shared" si="12"/>
        <v>64</v>
      </c>
      <c r="Z60" s="21">
        <f t="shared" si="12"/>
        <v>83</v>
      </c>
      <c r="AA60" s="21">
        <f t="shared" si="12"/>
        <v>15</v>
      </c>
      <c r="AB60" s="21">
        <f t="shared" si="12"/>
        <v>198</v>
      </c>
      <c r="AC60" s="21">
        <f t="shared" si="12"/>
        <v>75</v>
      </c>
      <c r="AD60" s="21">
        <f t="shared" si="12"/>
        <v>65</v>
      </c>
      <c r="AE60" s="21">
        <f t="shared" si="12"/>
        <v>36</v>
      </c>
      <c r="AF60" s="21">
        <f t="shared" si="12"/>
        <v>56</v>
      </c>
      <c r="AG60" s="21">
        <f t="shared" si="12"/>
        <v>101</v>
      </c>
      <c r="AH60" s="21">
        <f t="shared" si="12"/>
        <v>64</v>
      </c>
      <c r="AI60" s="21">
        <f t="shared" si="12"/>
        <v>100</v>
      </c>
      <c r="AJ60" s="21">
        <f t="shared" si="12"/>
        <v>120</v>
      </c>
      <c r="AK60" s="21">
        <f t="shared" si="12"/>
        <v>201</v>
      </c>
      <c r="AL60" s="21">
        <f t="shared" si="12"/>
        <v>156</v>
      </c>
      <c r="AM60" s="21">
        <f t="shared" si="12"/>
        <v>97</v>
      </c>
      <c r="AN60" s="21">
        <f t="shared" si="12"/>
        <v>104</v>
      </c>
      <c r="AO60" s="21">
        <f t="shared" si="12"/>
        <v>218</v>
      </c>
      <c r="AP60" s="21">
        <f t="shared" si="12"/>
        <v>99</v>
      </c>
      <c r="AQ60" s="21">
        <f t="shared" si="12"/>
        <v>60</v>
      </c>
      <c r="AR60" s="21">
        <f t="shared" si="12"/>
        <v>62</v>
      </c>
      <c r="AS60" s="21">
        <f t="shared" si="12"/>
        <v>156</v>
      </c>
      <c r="AT60" s="21">
        <f t="shared" si="12"/>
        <v>137</v>
      </c>
      <c r="AU60" s="21">
        <f t="shared" si="12"/>
        <v>207</v>
      </c>
      <c r="AV60" s="21">
        <f t="shared" si="12"/>
        <v>30</v>
      </c>
      <c r="AW60" s="21">
        <f t="shared" si="12"/>
        <v>177</v>
      </c>
      <c r="AX60" s="21">
        <f t="shared" si="12"/>
        <v>154</v>
      </c>
      <c r="AY60" s="21">
        <f t="shared" si="12"/>
        <v>118</v>
      </c>
      <c r="AZ60" s="21">
        <f t="shared" si="12"/>
        <v>127</v>
      </c>
      <c r="BA60" s="21">
        <f t="shared" si="12"/>
        <v>152</v>
      </c>
      <c r="BB60" s="21">
        <f t="shared" si="12"/>
        <v>132</v>
      </c>
      <c r="BC60" s="21">
        <f t="shared" si="12"/>
        <v>99</v>
      </c>
      <c r="BD60" s="21">
        <f t="shared" si="12"/>
        <v>90</v>
      </c>
      <c r="BE60" s="21">
        <f t="shared" si="12"/>
        <v>121</v>
      </c>
      <c r="BF60" s="21">
        <f t="shared" si="12"/>
        <v>83</v>
      </c>
      <c r="BG60" s="21">
        <f t="shared" si="12"/>
        <v>106</v>
      </c>
      <c r="BH60" s="21">
        <f t="shared" si="12"/>
        <v>127</v>
      </c>
      <c r="BI60" s="21">
        <f t="shared" si="12"/>
        <v>140</v>
      </c>
      <c r="BJ60" s="21">
        <f>SUM(BJ65,BJ68,BJ69)</f>
        <v>190</v>
      </c>
    </row>
    <row r="61" spans="1:62" ht="15" customHeight="1" outlineLevel="1" x14ac:dyDescent="0.2">
      <c r="A61" s="56"/>
      <c r="B61" s="76" t="s">
        <v>53</v>
      </c>
      <c r="C61" s="25">
        <v>6</v>
      </c>
      <c r="D61" s="25">
        <v>17</v>
      </c>
      <c r="E61" s="25">
        <v>11</v>
      </c>
      <c r="F61" s="25">
        <v>15</v>
      </c>
      <c r="G61" s="25">
        <v>5</v>
      </c>
      <c r="H61" s="25">
        <v>38</v>
      </c>
      <c r="I61" s="25">
        <v>32</v>
      </c>
      <c r="J61" s="25">
        <v>8</v>
      </c>
      <c r="K61" s="25">
        <v>11</v>
      </c>
      <c r="L61" s="25">
        <v>20</v>
      </c>
      <c r="M61" s="25">
        <v>27</v>
      </c>
      <c r="N61" s="25">
        <v>24</v>
      </c>
      <c r="O61" s="25">
        <v>13</v>
      </c>
      <c r="P61" s="25">
        <v>16</v>
      </c>
      <c r="Q61" s="25">
        <v>28</v>
      </c>
      <c r="R61" s="25">
        <v>30</v>
      </c>
      <c r="S61" s="25">
        <v>0</v>
      </c>
      <c r="T61" s="25">
        <v>4</v>
      </c>
      <c r="U61" s="25">
        <v>23</v>
      </c>
      <c r="V61" s="25">
        <v>22</v>
      </c>
      <c r="W61" s="25">
        <v>4</v>
      </c>
      <c r="X61" s="25">
        <v>15</v>
      </c>
      <c r="Y61" s="25">
        <v>16</v>
      </c>
      <c r="Z61" s="25">
        <v>28</v>
      </c>
      <c r="AA61" s="3">
        <v>7</v>
      </c>
      <c r="AB61" s="3">
        <v>25</v>
      </c>
      <c r="AC61" s="3">
        <v>16</v>
      </c>
      <c r="AD61" s="3">
        <v>17</v>
      </c>
      <c r="AE61" s="3">
        <v>14</v>
      </c>
      <c r="AF61" s="3">
        <v>0</v>
      </c>
      <c r="AG61" s="3">
        <v>42</v>
      </c>
      <c r="AH61" s="3">
        <v>0</v>
      </c>
      <c r="AI61" s="3">
        <v>0</v>
      </c>
      <c r="AJ61" s="3">
        <v>43</v>
      </c>
      <c r="AK61" s="3">
        <v>78</v>
      </c>
      <c r="AL61" s="3">
        <v>71</v>
      </c>
      <c r="AM61" s="3">
        <v>53</v>
      </c>
      <c r="AN61" s="25">
        <v>55</v>
      </c>
      <c r="AO61" s="25">
        <v>97</v>
      </c>
      <c r="AP61" s="25">
        <v>20</v>
      </c>
      <c r="AQ61" s="25">
        <v>20</v>
      </c>
      <c r="AR61" s="25">
        <v>26</v>
      </c>
      <c r="AS61" s="25">
        <v>65</v>
      </c>
      <c r="AT61" s="25">
        <v>54</v>
      </c>
      <c r="AU61" s="25">
        <v>17</v>
      </c>
      <c r="AV61" s="25">
        <v>8</v>
      </c>
      <c r="AW61" s="25">
        <v>84</v>
      </c>
      <c r="AX61" s="25">
        <v>49</v>
      </c>
      <c r="AY61" s="25">
        <v>52</v>
      </c>
      <c r="AZ61" s="25">
        <v>59</v>
      </c>
      <c r="BA61" s="25">
        <v>43</v>
      </c>
      <c r="BB61" s="25">
        <v>14</v>
      </c>
      <c r="BC61" s="25">
        <v>16</v>
      </c>
      <c r="BD61" s="25">
        <v>7</v>
      </c>
      <c r="BE61" s="25">
        <v>37</v>
      </c>
      <c r="BF61" s="25">
        <v>0</v>
      </c>
      <c r="BG61" s="25">
        <v>10</v>
      </c>
      <c r="BH61" s="25">
        <v>32</v>
      </c>
      <c r="BI61" s="25">
        <v>35</v>
      </c>
      <c r="BJ61" s="25">
        <v>68</v>
      </c>
    </row>
    <row r="62" spans="1:62" ht="15" customHeight="1" outlineLevel="1" x14ac:dyDescent="0.2">
      <c r="A62" s="56"/>
      <c r="B62" s="76" t="s">
        <v>54</v>
      </c>
      <c r="C62" s="25">
        <v>8</v>
      </c>
      <c r="D62" s="25">
        <v>19</v>
      </c>
      <c r="E62" s="25">
        <v>61</v>
      </c>
      <c r="F62" s="25">
        <v>38</v>
      </c>
      <c r="G62" s="25">
        <v>26</v>
      </c>
      <c r="H62" s="25">
        <v>92</v>
      </c>
      <c r="I62" s="25">
        <v>36</v>
      </c>
      <c r="J62" s="25">
        <v>40</v>
      </c>
      <c r="K62" s="25">
        <v>21</v>
      </c>
      <c r="L62" s="25">
        <v>37</v>
      </c>
      <c r="M62" s="25">
        <v>20</v>
      </c>
      <c r="N62" s="25">
        <v>42</v>
      </c>
      <c r="O62" s="25">
        <v>9</v>
      </c>
      <c r="P62" s="25">
        <v>23</v>
      </c>
      <c r="Q62" s="25">
        <v>18</v>
      </c>
      <c r="R62" s="25">
        <v>25</v>
      </c>
      <c r="S62" s="25">
        <v>9</v>
      </c>
      <c r="T62" s="25">
        <v>35</v>
      </c>
      <c r="U62" s="25">
        <v>10</v>
      </c>
      <c r="V62" s="25">
        <v>43</v>
      </c>
      <c r="W62" s="25">
        <v>14</v>
      </c>
      <c r="X62" s="25">
        <v>27</v>
      </c>
      <c r="Y62" s="25">
        <v>28</v>
      </c>
      <c r="Z62" s="25">
        <v>55</v>
      </c>
      <c r="AA62" s="3">
        <v>8</v>
      </c>
      <c r="AB62" s="3">
        <v>53</v>
      </c>
      <c r="AC62" s="3">
        <v>53</v>
      </c>
      <c r="AD62" s="3">
        <v>48</v>
      </c>
      <c r="AE62" s="3">
        <v>22</v>
      </c>
      <c r="AF62" s="3">
        <v>56</v>
      </c>
      <c r="AG62" s="3">
        <v>59</v>
      </c>
      <c r="AH62" s="3">
        <v>64</v>
      </c>
      <c r="AI62" s="3">
        <v>54</v>
      </c>
      <c r="AJ62" s="3">
        <v>61</v>
      </c>
      <c r="AK62" s="3">
        <v>123</v>
      </c>
      <c r="AL62" s="3">
        <v>85</v>
      </c>
      <c r="AM62" s="3">
        <v>44</v>
      </c>
      <c r="AN62" s="25">
        <v>27</v>
      </c>
      <c r="AO62" s="25">
        <v>121</v>
      </c>
      <c r="AP62" s="25">
        <v>79</v>
      </c>
      <c r="AQ62" s="25">
        <v>40</v>
      </c>
      <c r="AR62" s="25">
        <v>36</v>
      </c>
      <c r="AS62" s="25">
        <v>90</v>
      </c>
      <c r="AT62" s="25">
        <v>83</v>
      </c>
      <c r="AU62" s="25">
        <v>153</v>
      </c>
      <c r="AV62" s="25">
        <v>22</v>
      </c>
      <c r="AW62" s="25">
        <v>93</v>
      </c>
      <c r="AX62" s="25">
        <v>105</v>
      </c>
      <c r="AY62" s="25">
        <v>66</v>
      </c>
      <c r="AZ62" s="25">
        <v>67</v>
      </c>
      <c r="BA62" s="25">
        <v>110</v>
      </c>
      <c r="BB62" s="25">
        <v>117</v>
      </c>
      <c r="BC62" s="25">
        <v>83</v>
      </c>
      <c r="BD62" s="25">
        <v>83</v>
      </c>
      <c r="BE62" s="25">
        <v>83</v>
      </c>
      <c r="BF62" s="25">
        <v>83</v>
      </c>
      <c r="BG62" s="25">
        <v>96</v>
      </c>
      <c r="BH62" s="25">
        <v>94</v>
      </c>
      <c r="BI62" s="25">
        <v>105</v>
      </c>
      <c r="BJ62" s="25">
        <v>122</v>
      </c>
    </row>
    <row r="63" spans="1:62" ht="15" customHeight="1" outlineLevel="1" x14ac:dyDescent="0.2">
      <c r="A63" s="56"/>
      <c r="B63" s="76" t="s">
        <v>52</v>
      </c>
      <c r="C63" s="25">
        <v>22</v>
      </c>
      <c r="D63" s="25">
        <v>24</v>
      </c>
      <c r="E63" s="25">
        <v>35</v>
      </c>
      <c r="F63" s="25">
        <v>43</v>
      </c>
      <c r="G63" s="25">
        <v>22</v>
      </c>
      <c r="H63" s="25">
        <v>88</v>
      </c>
      <c r="I63" s="3">
        <v>0</v>
      </c>
      <c r="J63" s="3">
        <v>0</v>
      </c>
      <c r="K63" s="25">
        <v>9</v>
      </c>
      <c r="L63" s="25">
        <v>21</v>
      </c>
      <c r="M63" s="3">
        <v>10</v>
      </c>
      <c r="N63" s="3">
        <v>0</v>
      </c>
      <c r="O63" s="3">
        <v>0</v>
      </c>
      <c r="P63" s="3">
        <v>27</v>
      </c>
      <c r="Q63" s="3">
        <v>19</v>
      </c>
      <c r="R63" s="3">
        <v>0</v>
      </c>
      <c r="S63" s="3">
        <v>0</v>
      </c>
      <c r="T63" s="25">
        <v>0</v>
      </c>
      <c r="U63" s="3">
        <v>0</v>
      </c>
      <c r="V63" s="3">
        <v>10</v>
      </c>
      <c r="W63" s="3">
        <v>0</v>
      </c>
      <c r="X63" s="3">
        <v>17</v>
      </c>
      <c r="Y63" s="3">
        <v>20</v>
      </c>
      <c r="Z63" s="3">
        <v>0</v>
      </c>
      <c r="AA63" s="3">
        <v>0</v>
      </c>
      <c r="AB63" s="25">
        <v>75</v>
      </c>
      <c r="AC63" s="25">
        <v>6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</row>
    <row r="64" spans="1:62" ht="15" customHeight="1" outlineLevel="1" x14ac:dyDescent="0.2">
      <c r="A64" s="56"/>
      <c r="B64" s="52" t="s">
        <v>51</v>
      </c>
      <c r="C64" s="25">
        <v>0</v>
      </c>
      <c r="D64" s="3">
        <v>0</v>
      </c>
      <c r="E64" s="3">
        <v>0</v>
      </c>
      <c r="F64" s="25">
        <v>24</v>
      </c>
      <c r="G64" s="25">
        <v>8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</row>
    <row r="65" spans="1:62" ht="15" customHeight="1" outlineLevel="1" x14ac:dyDescent="0.2">
      <c r="A65" s="56"/>
      <c r="B65" s="78" t="s">
        <v>209</v>
      </c>
      <c r="C65" s="67">
        <f t="shared" ref="C65:AT65" si="13">SUM(C61:C64)</f>
        <v>36</v>
      </c>
      <c r="D65" s="67">
        <f t="shared" si="13"/>
        <v>60</v>
      </c>
      <c r="E65" s="67">
        <f t="shared" si="13"/>
        <v>107</v>
      </c>
      <c r="F65" s="67">
        <f t="shared" si="13"/>
        <v>120</v>
      </c>
      <c r="G65" s="67">
        <f t="shared" si="13"/>
        <v>61</v>
      </c>
      <c r="H65" s="67">
        <f t="shared" si="13"/>
        <v>218</v>
      </c>
      <c r="I65" s="67">
        <f t="shared" si="13"/>
        <v>68</v>
      </c>
      <c r="J65" s="67">
        <f t="shared" si="13"/>
        <v>48</v>
      </c>
      <c r="K65" s="67">
        <f t="shared" si="13"/>
        <v>41</v>
      </c>
      <c r="L65" s="67">
        <f t="shared" si="13"/>
        <v>78</v>
      </c>
      <c r="M65" s="67">
        <f t="shared" si="13"/>
        <v>57</v>
      </c>
      <c r="N65" s="67">
        <f t="shared" si="13"/>
        <v>66</v>
      </c>
      <c r="O65" s="67">
        <f t="shared" si="13"/>
        <v>22</v>
      </c>
      <c r="P65" s="67">
        <f t="shared" si="13"/>
        <v>66</v>
      </c>
      <c r="Q65" s="67">
        <f t="shared" si="13"/>
        <v>65</v>
      </c>
      <c r="R65" s="67">
        <f t="shared" si="13"/>
        <v>55</v>
      </c>
      <c r="S65" s="67">
        <f t="shared" si="13"/>
        <v>9</v>
      </c>
      <c r="T65" s="67">
        <f t="shared" si="13"/>
        <v>39</v>
      </c>
      <c r="U65" s="67">
        <f t="shared" si="13"/>
        <v>33</v>
      </c>
      <c r="V65" s="67">
        <f t="shared" si="13"/>
        <v>75</v>
      </c>
      <c r="W65" s="67">
        <f t="shared" si="13"/>
        <v>18</v>
      </c>
      <c r="X65" s="67">
        <f t="shared" si="13"/>
        <v>59</v>
      </c>
      <c r="Y65" s="67">
        <f t="shared" si="13"/>
        <v>64</v>
      </c>
      <c r="Z65" s="67">
        <f t="shared" si="13"/>
        <v>83</v>
      </c>
      <c r="AA65" s="67">
        <f t="shared" si="13"/>
        <v>15</v>
      </c>
      <c r="AB65" s="67">
        <f t="shared" si="13"/>
        <v>153</v>
      </c>
      <c r="AC65" s="67">
        <f t="shared" si="13"/>
        <v>75</v>
      </c>
      <c r="AD65" s="67">
        <f t="shared" si="13"/>
        <v>65</v>
      </c>
      <c r="AE65" s="67">
        <f t="shared" si="13"/>
        <v>36</v>
      </c>
      <c r="AF65" s="67">
        <f t="shared" si="13"/>
        <v>56</v>
      </c>
      <c r="AG65" s="67">
        <f t="shared" si="13"/>
        <v>101</v>
      </c>
      <c r="AH65" s="67">
        <f t="shared" si="13"/>
        <v>64</v>
      </c>
      <c r="AI65" s="67">
        <f t="shared" si="13"/>
        <v>54</v>
      </c>
      <c r="AJ65" s="67">
        <f t="shared" si="13"/>
        <v>104</v>
      </c>
      <c r="AK65" s="67">
        <f t="shared" si="13"/>
        <v>201</v>
      </c>
      <c r="AL65" s="67">
        <f t="shared" si="13"/>
        <v>156</v>
      </c>
      <c r="AM65" s="67">
        <f t="shared" si="13"/>
        <v>97</v>
      </c>
      <c r="AN65" s="67">
        <f t="shared" si="13"/>
        <v>82</v>
      </c>
      <c r="AO65" s="67">
        <f t="shared" si="13"/>
        <v>218</v>
      </c>
      <c r="AP65" s="67">
        <f t="shared" si="13"/>
        <v>99</v>
      </c>
      <c r="AQ65" s="67">
        <f t="shared" si="13"/>
        <v>60</v>
      </c>
      <c r="AR65" s="67">
        <f t="shared" si="13"/>
        <v>62</v>
      </c>
      <c r="AS65" s="67">
        <f t="shared" si="13"/>
        <v>155</v>
      </c>
      <c r="AT65" s="67">
        <f t="shared" si="13"/>
        <v>137</v>
      </c>
      <c r="AU65" s="67">
        <v>170</v>
      </c>
      <c r="AV65" s="67">
        <f>SUM(AV61:AV64)</f>
        <v>30</v>
      </c>
      <c r="AW65" s="67">
        <f>SUM(AW61:AW64)</f>
        <v>177</v>
      </c>
      <c r="AX65" s="67">
        <f>SUM(AX61:AX64)</f>
        <v>154</v>
      </c>
      <c r="AY65" s="67">
        <v>118</v>
      </c>
      <c r="AZ65" s="67">
        <v>126</v>
      </c>
      <c r="BA65" s="67">
        <v>152</v>
      </c>
      <c r="BB65" s="67">
        <v>131</v>
      </c>
      <c r="BC65" s="67">
        <v>99</v>
      </c>
      <c r="BD65" s="67">
        <v>90</v>
      </c>
      <c r="BE65" s="67">
        <v>121</v>
      </c>
      <c r="BF65" s="67">
        <v>83</v>
      </c>
      <c r="BG65" s="67">
        <v>106</v>
      </c>
      <c r="BH65" s="67">
        <v>127</v>
      </c>
      <c r="BI65" s="67">
        <v>140</v>
      </c>
      <c r="BJ65" s="67">
        <v>190</v>
      </c>
    </row>
    <row r="66" spans="1:62" ht="15" customHeight="1" outlineLevel="1" x14ac:dyDescent="0.2">
      <c r="A66" s="56"/>
      <c r="B66" s="76" t="s">
        <v>55</v>
      </c>
      <c r="C66" s="25">
        <v>0</v>
      </c>
      <c r="D66" s="3">
        <v>0</v>
      </c>
      <c r="E66" s="3">
        <v>0</v>
      </c>
      <c r="F66" s="25">
        <v>0</v>
      </c>
      <c r="G66" s="25">
        <v>16</v>
      </c>
      <c r="H66" s="25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44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46</v>
      </c>
      <c r="AJ66" s="3">
        <v>16</v>
      </c>
      <c r="AK66" s="3">
        <v>0</v>
      </c>
      <c r="AL66" s="3">
        <v>0</v>
      </c>
      <c r="AM66" s="3">
        <v>0</v>
      </c>
      <c r="AN66" s="25">
        <v>22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37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</row>
    <row r="67" spans="1:62" ht="15" customHeight="1" outlineLevel="1" x14ac:dyDescent="0.2">
      <c r="A67" s="56"/>
      <c r="B67" s="76" t="s">
        <v>56</v>
      </c>
      <c r="C67" s="25">
        <v>0</v>
      </c>
      <c r="D67" s="3">
        <v>0</v>
      </c>
      <c r="E67" s="25">
        <v>19</v>
      </c>
      <c r="F67" s="25">
        <v>14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1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</row>
    <row r="68" spans="1:62" ht="15" customHeight="1" outlineLevel="1" x14ac:dyDescent="0.2">
      <c r="A68" s="56"/>
      <c r="B68" s="78" t="s">
        <v>210</v>
      </c>
      <c r="C68" s="67">
        <f t="shared" ref="C68:AT68" si="14">SUM(C66:C67)</f>
        <v>0</v>
      </c>
      <c r="D68" s="67">
        <f t="shared" si="14"/>
        <v>0</v>
      </c>
      <c r="E68" s="67">
        <f t="shared" si="14"/>
        <v>19</v>
      </c>
      <c r="F68" s="67">
        <f t="shared" si="14"/>
        <v>14</v>
      </c>
      <c r="G68" s="67">
        <f t="shared" si="14"/>
        <v>16</v>
      </c>
      <c r="H68" s="67">
        <f t="shared" si="14"/>
        <v>0</v>
      </c>
      <c r="I68" s="67">
        <f t="shared" si="14"/>
        <v>0</v>
      </c>
      <c r="J68" s="67">
        <f t="shared" si="14"/>
        <v>0</v>
      </c>
      <c r="K68" s="67">
        <f t="shared" si="14"/>
        <v>0</v>
      </c>
      <c r="L68" s="67">
        <f t="shared" si="14"/>
        <v>0</v>
      </c>
      <c r="M68" s="67">
        <f t="shared" si="14"/>
        <v>0</v>
      </c>
      <c r="N68" s="67">
        <f t="shared" si="14"/>
        <v>0</v>
      </c>
      <c r="O68" s="67">
        <f t="shared" si="14"/>
        <v>0</v>
      </c>
      <c r="P68" s="67">
        <f t="shared" si="14"/>
        <v>0</v>
      </c>
      <c r="Q68" s="67">
        <f t="shared" si="14"/>
        <v>0</v>
      </c>
      <c r="R68" s="67">
        <f t="shared" si="14"/>
        <v>0</v>
      </c>
      <c r="S68" s="67">
        <f t="shared" si="14"/>
        <v>0</v>
      </c>
      <c r="T68" s="67">
        <f t="shared" si="14"/>
        <v>0</v>
      </c>
      <c r="U68" s="67">
        <f t="shared" si="14"/>
        <v>0</v>
      </c>
      <c r="V68" s="67">
        <f t="shared" si="14"/>
        <v>0</v>
      </c>
      <c r="W68" s="67">
        <f t="shared" si="14"/>
        <v>0</v>
      </c>
      <c r="X68" s="67">
        <f t="shared" si="14"/>
        <v>0</v>
      </c>
      <c r="Y68" s="67">
        <f t="shared" si="14"/>
        <v>0</v>
      </c>
      <c r="Z68" s="67">
        <f t="shared" si="14"/>
        <v>0</v>
      </c>
      <c r="AA68" s="67">
        <f t="shared" si="14"/>
        <v>0</v>
      </c>
      <c r="AB68" s="67">
        <f t="shared" si="14"/>
        <v>44</v>
      </c>
      <c r="AC68" s="67">
        <f t="shared" si="14"/>
        <v>0</v>
      </c>
      <c r="AD68" s="67">
        <f t="shared" si="14"/>
        <v>0</v>
      </c>
      <c r="AE68" s="67">
        <f t="shared" si="14"/>
        <v>0</v>
      </c>
      <c r="AF68" s="67">
        <f t="shared" si="14"/>
        <v>0</v>
      </c>
      <c r="AG68" s="67">
        <f t="shared" si="14"/>
        <v>0</v>
      </c>
      <c r="AH68" s="67">
        <f t="shared" si="14"/>
        <v>0</v>
      </c>
      <c r="AI68" s="67">
        <f t="shared" si="14"/>
        <v>46</v>
      </c>
      <c r="AJ68" s="67">
        <f t="shared" si="14"/>
        <v>16</v>
      </c>
      <c r="AK68" s="67">
        <f t="shared" si="14"/>
        <v>0</v>
      </c>
      <c r="AL68" s="67">
        <f t="shared" si="14"/>
        <v>0</v>
      </c>
      <c r="AM68" s="67">
        <f t="shared" si="14"/>
        <v>0</v>
      </c>
      <c r="AN68" s="67">
        <f t="shared" si="14"/>
        <v>22</v>
      </c>
      <c r="AO68" s="67">
        <f t="shared" si="14"/>
        <v>0</v>
      </c>
      <c r="AP68" s="67">
        <f t="shared" si="14"/>
        <v>0</v>
      </c>
      <c r="AQ68" s="67">
        <f t="shared" si="14"/>
        <v>0</v>
      </c>
      <c r="AR68" s="67">
        <f t="shared" si="14"/>
        <v>0</v>
      </c>
      <c r="AS68" s="67">
        <f t="shared" si="14"/>
        <v>1</v>
      </c>
      <c r="AT68" s="67">
        <f t="shared" si="14"/>
        <v>0</v>
      </c>
      <c r="AU68" s="67">
        <v>37</v>
      </c>
      <c r="AV68" s="67">
        <f>SUM(AV66:AV67)</f>
        <v>0</v>
      </c>
      <c r="AW68" s="67">
        <f>SUM(AW66:AW67)</f>
        <v>0</v>
      </c>
      <c r="AX68" s="67">
        <f>SUM(AX66:AX67)</f>
        <v>0</v>
      </c>
      <c r="AY68" s="67">
        <v>0</v>
      </c>
      <c r="AZ68" s="67">
        <v>1</v>
      </c>
      <c r="BA68" s="67">
        <v>0</v>
      </c>
      <c r="BB68" s="67">
        <v>0</v>
      </c>
      <c r="BC68" s="67">
        <v>0</v>
      </c>
      <c r="BD68" s="67">
        <v>0</v>
      </c>
      <c r="BE68" s="67">
        <v>0</v>
      </c>
      <c r="BF68" s="67">
        <v>0</v>
      </c>
      <c r="BG68" s="67">
        <v>0</v>
      </c>
      <c r="BH68" s="67">
        <v>0</v>
      </c>
      <c r="BI68" s="67">
        <v>0</v>
      </c>
      <c r="BJ68" s="67">
        <v>0</v>
      </c>
    </row>
    <row r="69" spans="1:62" ht="15" customHeight="1" outlineLevel="1" x14ac:dyDescent="0.2">
      <c r="B69" s="79" t="s">
        <v>211</v>
      </c>
      <c r="C69" s="83">
        <v>7</v>
      </c>
      <c r="D69" s="83">
        <v>0</v>
      </c>
      <c r="E69" s="83">
        <v>0</v>
      </c>
      <c r="F69" s="83">
        <v>0</v>
      </c>
      <c r="G69" s="83">
        <v>3</v>
      </c>
      <c r="H69" s="83">
        <v>5</v>
      </c>
      <c r="I69" s="83">
        <v>2</v>
      </c>
      <c r="J69" s="83">
        <v>0</v>
      </c>
      <c r="K69" s="83">
        <v>0</v>
      </c>
      <c r="L69" s="83">
        <v>0</v>
      </c>
      <c r="M69" s="83">
        <v>1</v>
      </c>
      <c r="N69" s="83">
        <v>0</v>
      </c>
      <c r="O69" s="83">
        <v>5</v>
      </c>
      <c r="P69" s="83">
        <v>2</v>
      </c>
      <c r="Q69" s="83">
        <v>2</v>
      </c>
      <c r="R69" s="83">
        <v>1</v>
      </c>
      <c r="S69" s="83">
        <v>0</v>
      </c>
      <c r="T69" s="83">
        <v>2</v>
      </c>
      <c r="U69" s="84">
        <v>0</v>
      </c>
      <c r="V69" s="84">
        <v>1</v>
      </c>
      <c r="W69" s="84">
        <v>2</v>
      </c>
      <c r="X69" s="84">
        <v>0</v>
      </c>
      <c r="Y69" s="84">
        <v>0</v>
      </c>
      <c r="Z69" s="84">
        <v>0</v>
      </c>
      <c r="AA69" s="84">
        <v>0</v>
      </c>
      <c r="AB69" s="83">
        <v>1</v>
      </c>
      <c r="AC69" s="84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0</v>
      </c>
      <c r="AJ69" s="84">
        <v>0</v>
      </c>
      <c r="AK69" s="84">
        <v>0</v>
      </c>
      <c r="AL69" s="84">
        <v>0</v>
      </c>
      <c r="AM69" s="84">
        <v>0</v>
      </c>
      <c r="AN69" s="84">
        <v>0</v>
      </c>
      <c r="AO69" s="84">
        <v>0</v>
      </c>
      <c r="AP69" s="84">
        <v>0</v>
      </c>
      <c r="AQ69" s="84">
        <v>0</v>
      </c>
      <c r="AR69" s="84">
        <v>0</v>
      </c>
      <c r="AS69" s="84">
        <v>0</v>
      </c>
      <c r="AT69" s="84">
        <v>0</v>
      </c>
      <c r="AU69" s="84">
        <v>0</v>
      </c>
      <c r="AV69" s="84">
        <v>0</v>
      </c>
      <c r="AW69" s="84">
        <v>0</v>
      </c>
      <c r="AX69" s="84">
        <v>0</v>
      </c>
      <c r="AY69" s="84">
        <v>0</v>
      </c>
      <c r="AZ69" s="84">
        <v>0</v>
      </c>
      <c r="BA69" s="84">
        <v>0</v>
      </c>
      <c r="BB69" s="84">
        <v>1</v>
      </c>
      <c r="BC69" s="84">
        <v>0</v>
      </c>
      <c r="BD69" s="84">
        <v>0</v>
      </c>
      <c r="BE69" s="84">
        <v>0</v>
      </c>
      <c r="BF69" s="84">
        <v>0</v>
      </c>
      <c r="BG69" s="84">
        <v>0</v>
      </c>
      <c r="BH69" s="84">
        <v>0</v>
      </c>
      <c r="BI69" s="84">
        <v>0</v>
      </c>
      <c r="BJ69" s="84">
        <v>0</v>
      </c>
    </row>
    <row r="70" spans="1:62" ht="15" customHeight="1" x14ac:dyDescent="0.2">
      <c r="A70" s="56"/>
    </row>
    <row r="71" spans="1:62" ht="14.1" customHeight="1" outlineLevel="1" x14ac:dyDescent="0.2">
      <c r="A71" s="56"/>
      <c r="B71" s="19" t="s">
        <v>0</v>
      </c>
      <c r="C71" s="29" t="s">
        <v>99</v>
      </c>
      <c r="D71" s="29">
        <v>2008</v>
      </c>
      <c r="E71" s="29" t="s">
        <v>100</v>
      </c>
      <c r="F71" s="29" t="s">
        <v>101</v>
      </c>
      <c r="G71" s="29" t="s">
        <v>102</v>
      </c>
      <c r="H71" s="29">
        <v>2009</v>
      </c>
      <c r="I71" s="29" t="s">
        <v>103</v>
      </c>
      <c r="J71" s="29" t="s">
        <v>104</v>
      </c>
      <c r="K71" s="29" t="s">
        <v>105</v>
      </c>
      <c r="L71" s="29">
        <v>2010</v>
      </c>
      <c r="M71" s="29" t="s">
        <v>106</v>
      </c>
      <c r="N71" s="29" t="s">
        <v>107</v>
      </c>
      <c r="O71" s="29" t="s">
        <v>108</v>
      </c>
      <c r="P71" s="19">
        <v>2011</v>
      </c>
      <c r="Q71" s="19" t="s">
        <v>96</v>
      </c>
      <c r="R71" s="19" t="s">
        <v>97</v>
      </c>
      <c r="S71" s="19" t="s">
        <v>98</v>
      </c>
      <c r="T71" s="19">
        <v>2012</v>
      </c>
      <c r="U71" s="19" t="s">
        <v>93</v>
      </c>
      <c r="V71" s="19" t="s">
        <v>94</v>
      </c>
      <c r="W71" s="19" t="s">
        <v>95</v>
      </c>
      <c r="X71" s="19">
        <v>2013</v>
      </c>
      <c r="Y71" s="19" t="s">
        <v>90</v>
      </c>
      <c r="Z71" s="19" t="s">
        <v>91</v>
      </c>
      <c r="AA71" s="19" t="s">
        <v>92</v>
      </c>
      <c r="AB71" s="19">
        <v>2014</v>
      </c>
      <c r="AC71" s="19" t="s">
        <v>87</v>
      </c>
      <c r="AD71" s="19" t="s">
        <v>88</v>
      </c>
      <c r="AE71" s="19" t="s">
        <v>89</v>
      </c>
      <c r="AF71" s="19">
        <v>2015</v>
      </c>
      <c r="AG71" s="19" t="s">
        <v>84</v>
      </c>
      <c r="AH71" s="19" t="s">
        <v>85</v>
      </c>
      <c r="AI71" s="19" t="s">
        <v>86</v>
      </c>
      <c r="AJ71" s="19">
        <v>2016</v>
      </c>
      <c r="AK71" s="19" t="s">
        <v>83</v>
      </c>
      <c r="AL71" s="19" t="s">
        <v>82</v>
      </c>
      <c r="AM71" s="19" t="s">
        <v>81</v>
      </c>
      <c r="AN71" s="19">
        <v>2017</v>
      </c>
      <c r="AO71" s="19" t="s">
        <v>171</v>
      </c>
      <c r="AP71" s="19" t="s">
        <v>174</v>
      </c>
      <c r="AQ71" s="19" t="s">
        <v>176</v>
      </c>
      <c r="AR71" s="19">
        <v>2018</v>
      </c>
      <c r="AS71" s="19" t="s">
        <v>187</v>
      </c>
      <c r="AT71" s="19" t="s">
        <v>189</v>
      </c>
      <c r="AU71" s="19" t="s">
        <v>192</v>
      </c>
      <c r="AV71" s="19">
        <v>2019</v>
      </c>
      <c r="AW71" s="19" t="s">
        <v>194</v>
      </c>
      <c r="AX71" s="19" t="s">
        <v>206</v>
      </c>
      <c r="AY71" s="19" t="s">
        <v>207</v>
      </c>
      <c r="AZ71" s="19">
        <v>2020</v>
      </c>
      <c r="BA71" s="19" t="s">
        <v>220</v>
      </c>
      <c r="BB71" s="19" t="s">
        <v>221</v>
      </c>
      <c r="BC71" s="19" t="s">
        <v>223</v>
      </c>
      <c r="BD71" s="19">
        <v>2021</v>
      </c>
      <c r="BE71" s="19" t="s">
        <v>233</v>
      </c>
      <c r="BF71" s="19" t="s">
        <v>234</v>
      </c>
      <c r="BG71" s="19" t="s">
        <v>235</v>
      </c>
      <c r="BH71" s="19">
        <v>2022</v>
      </c>
      <c r="BI71" s="19" t="s">
        <v>238</v>
      </c>
      <c r="BJ71" s="19" t="s">
        <v>239</v>
      </c>
    </row>
    <row r="72" spans="1:62" ht="14.1" customHeight="1" outlineLevel="1" x14ac:dyDescent="0.2">
      <c r="A72" s="56"/>
      <c r="B72" s="20" t="s">
        <v>202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5"/>
      <c r="AP72" s="5"/>
      <c r="AQ72" s="5"/>
      <c r="AR72" s="20"/>
      <c r="AS72" s="20"/>
      <c r="AT72" s="20"/>
      <c r="AU72" s="20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 spans="1:62" ht="14.1" customHeight="1" outlineLevel="1" x14ac:dyDescent="0.2">
      <c r="A73" s="56"/>
      <c r="B73" s="6" t="s">
        <v>42</v>
      </c>
      <c r="C73" s="7">
        <f t="shared" ref="C73:BI73" si="15">+C8</f>
        <v>1377</v>
      </c>
      <c r="D73" s="7">
        <f t="shared" si="15"/>
        <v>1333</v>
      </c>
      <c r="E73" s="7">
        <f t="shared" si="15"/>
        <v>1132</v>
      </c>
      <c r="F73" s="7">
        <f t="shared" si="15"/>
        <v>1421</v>
      </c>
      <c r="G73" s="7">
        <f t="shared" si="15"/>
        <v>1366</v>
      </c>
      <c r="H73" s="7">
        <f t="shared" si="15"/>
        <v>1259</v>
      </c>
      <c r="I73" s="7">
        <f t="shared" si="15"/>
        <v>1297</v>
      </c>
      <c r="J73" s="7">
        <f t="shared" si="15"/>
        <v>1519</v>
      </c>
      <c r="K73" s="7">
        <f t="shared" si="15"/>
        <v>1412</v>
      </c>
      <c r="L73" s="7">
        <f t="shared" si="15"/>
        <v>1830</v>
      </c>
      <c r="M73" s="7">
        <f t="shared" si="15"/>
        <v>2034</v>
      </c>
      <c r="N73" s="7">
        <f t="shared" si="15"/>
        <v>2066</v>
      </c>
      <c r="O73" s="7">
        <f t="shared" si="15"/>
        <v>1810</v>
      </c>
      <c r="P73" s="7">
        <f t="shared" si="15"/>
        <v>2005</v>
      </c>
      <c r="Q73" s="7">
        <f t="shared" si="15"/>
        <v>1903</v>
      </c>
      <c r="R73" s="7">
        <f t="shared" si="15"/>
        <v>2266</v>
      </c>
      <c r="S73" s="7">
        <f t="shared" si="15"/>
        <v>2339</v>
      </c>
      <c r="T73" s="7">
        <f t="shared" si="15"/>
        <v>2150</v>
      </c>
      <c r="U73" s="7">
        <f t="shared" si="15"/>
        <v>2386</v>
      </c>
      <c r="V73" s="7">
        <f t="shared" si="15"/>
        <v>2115</v>
      </c>
      <c r="W73" s="7">
        <f t="shared" si="15"/>
        <v>1994</v>
      </c>
      <c r="X73" s="7">
        <f t="shared" si="15"/>
        <v>2998</v>
      </c>
      <c r="Y73" s="7">
        <f t="shared" si="15"/>
        <v>2635</v>
      </c>
      <c r="Z73" s="7">
        <f t="shared" si="15"/>
        <v>2531</v>
      </c>
      <c r="AA73" s="7">
        <f t="shared" si="15"/>
        <v>2209</v>
      </c>
      <c r="AB73" s="7">
        <f t="shared" si="15"/>
        <v>2373</v>
      </c>
      <c r="AC73" s="7">
        <f t="shared" si="15"/>
        <v>2200</v>
      </c>
      <c r="AD73" s="7">
        <f t="shared" si="15"/>
        <v>2238</v>
      </c>
      <c r="AE73" s="7">
        <f t="shared" si="15"/>
        <v>2004</v>
      </c>
      <c r="AF73" s="7">
        <f t="shared" si="15"/>
        <v>1711</v>
      </c>
      <c r="AG73" s="7">
        <f t="shared" si="15"/>
        <v>1906</v>
      </c>
      <c r="AH73" s="7">
        <f t="shared" si="15"/>
        <v>1819</v>
      </c>
      <c r="AI73" s="7">
        <f t="shared" si="15"/>
        <v>1653</v>
      </c>
      <c r="AJ73" s="7">
        <f t="shared" si="15"/>
        <v>3670</v>
      </c>
      <c r="AK73" s="7">
        <f t="shared" si="15"/>
        <v>3808</v>
      </c>
      <c r="AL73" s="7">
        <f t="shared" si="15"/>
        <v>3603</v>
      </c>
      <c r="AM73" s="7">
        <f t="shared" si="15"/>
        <v>3570</v>
      </c>
      <c r="AN73" s="7">
        <f t="shared" si="15"/>
        <v>3419</v>
      </c>
      <c r="AO73" s="7">
        <f t="shared" si="15"/>
        <v>3082</v>
      </c>
      <c r="AP73" s="7">
        <f t="shared" si="15"/>
        <v>2606</v>
      </c>
      <c r="AQ73" s="7">
        <f t="shared" si="15"/>
        <v>3041</v>
      </c>
      <c r="AR73" s="7">
        <f t="shared" si="15"/>
        <v>2746.6204480000001</v>
      </c>
      <c r="AS73" s="7">
        <f t="shared" si="15"/>
        <v>2260.72883</v>
      </c>
      <c r="AT73" s="7">
        <f t="shared" si="15"/>
        <v>1846.0777943564945</v>
      </c>
      <c r="AU73" s="7">
        <f t="shared" si="15"/>
        <v>1779.1694158556531</v>
      </c>
      <c r="AV73" s="7">
        <f t="shared" si="15"/>
        <v>1715.0767694172578</v>
      </c>
      <c r="AW73" s="7">
        <f t="shared" si="15"/>
        <v>1447.4346994359778</v>
      </c>
      <c r="AX73" s="7">
        <f t="shared" si="15"/>
        <v>1490.8291633872475</v>
      </c>
      <c r="AY73" s="7">
        <f t="shared" si="15"/>
        <v>1579.1346639999999</v>
      </c>
      <c r="AZ73" s="7">
        <f t="shared" si="15"/>
        <v>1403.3501665471547</v>
      </c>
      <c r="BA73" s="7">
        <f t="shared" si="15"/>
        <v>1635.2649989922677</v>
      </c>
      <c r="BB73" s="7">
        <f t="shared" si="15"/>
        <v>1506.2807012816097</v>
      </c>
      <c r="BC73" s="7">
        <f t="shared" si="15"/>
        <v>1460.2577264003248</v>
      </c>
      <c r="BD73" s="7">
        <f t="shared" si="15"/>
        <v>1256.0736149335257</v>
      </c>
      <c r="BE73" s="7">
        <f t="shared" si="15"/>
        <v>1411.4488243905416</v>
      </c>
      <c r="BF73" s="7">
        <f t="shared" si="15"/>
        <v>1405.2965682747677</v>
      </c>
      <c r="BG73" s="7">
        <f t="shared" si="15"/>
        <v>1387.3346628888362</v>
      </c>
      <c r="BH73" s="7">
        <f t="shared" si="15"/>
        <v>1157.9854928348145</v>
      </c>
      <c r="BI73" s="7">
        <f t="shared" si="15"/>
        <v>1186.9908734093519</v>
      </c>
      <c r="BJ73" s="7">
        <f t="shared" ref="BJ73:BJ80" si="16">+BJ8</f>
        <v>1225.7520113798607</v>
      </c>
    </row>
    <row r="74" spans="1:62" ht="15" customHeight="1" outlineLevel="1" x14ac:dyDescent="0.2">
      <c r="A74" s="56"/>
      <c r="B74" s="121" t="s">
        <v>3</v>
      </c>
      <c r="C74" s="4">
        <f t="shared" ref="C74:BI74" si="17">+C9</f>
        <v>92</v>
      </c>
      <c r="D74" s="4">
        <f t="shared" si="17"/>
        <v>75</v>
      </c>
      <c r="E74" s="4">
        <f t="shared" si="17"/>
        <v>71</v>
      </c>
      <c r="F74" s="4">
        <f t="shared" si="17"/>
        <v>60</v>
      </c>
      <c r="G74" s="4">
        <f t="shared" si="17"/>
        <v>43</v>
      </c>
      <c r="H74" s="4">
        <f t="shared" si="17"/>
        <v>34</v>
      </c>
      <c r="I74" s="4">
        <f t="shared" si="17"/>
        <v>30</v>
      </c>
      <c r="J74" s="4">
        <f t="shared" si="17"/>
        <v>41</v>
      </c>
      <c r="K74" s="4">
        <f t="shared" si="17"/>
        <v>34</v>
      </c>
      <c r="L74" s="4">
        <f t="shared" si="17"/>
        <v>36</v>
      </c>
      <c r="M74" s="4">
        <f t="shared" si="17"/>
        <v>38</v>
      </c>
      <c r="N74" s="4">
        <f t="shared" si="17"/>
        <v>78</v>
      </c>
      <c r="O74" s="4">
        <f t="shared" si="17"/>
        <v>55</v>
      </c>
      <c r="P74" s="4">
        <f t="shared" si="17"/>
        <v>555</v>
      </c>
      <c r="Q74" s="4">
        <f t="shared" si="17"/>
        <v>516</v>
      </c>
      <c r="R74" s="4">
        <f t="shared" si="17"/>
        <v>484</v>
      </c>
      <c r="S74" s="4">
        <f t="shared" si="17"/>
        <v>563</v>
      </c>
      <c r="T74" s="4">
        <f t="shared" si="17"/>
        <v>561</v>
      </c>
      <c r="U74" s="4">
        <f t="shared" si="17"/>
        <v>500</v>
      </c>
      <c r="V74" s="4">
        <f t="shared" si="17"/>
        <v>436</v>
      </c>
      <c r="W74" s="4">
        <f t="shared" si="17"/>
        <v>514</v>
      </c>
      <c r="X74" s="4">
        <f t="shared" si="17"/>
        <v>476</v>
      </c>
      <c r="Y74" s="4">
        <f t="shared" si="17"/>
        <v>357</v>
      </c>
      <c r="Z74" s="4">
        <f t="shared" si="17"/>
        <v>313</v>
      </c>
      <c r="AA74" s="4">
        <f t="shared" si="17"/>
        <v>259</v>
      </c>
      <c r="AB74" s="4">
        <f t="shared" si="17"/>
        <v>754</v>
      </c>
      <c r="AC74" s="4">
        <f t="shared" si="17"/>
        <v>762</v>
      </c>
      <c r="AD74" s="4">
        <f t="shared" si="17"/>
        <v>737</v>
      </c>
      <c r="AE74" s="4">
        <f t="shared" si="17"/>
        <v>663</v>
      </c>
      <c r="AF74" s="4">
        <f t="shared" si="17"/>
        <v>572</v>
      </c>
      <c r="AG74" s="4">
        <f t="shared" si="17"/>
        <v>980</v>
      </c>
      <c r="AH74" s="4">
        <f t="shared" si="17"/>
        <v>1066</v>
      </c>
      <c r="AI74" s="4">
        <f t="shared" si="17"/>
        <v>961</v>
      </c>
      <c r="AJ74" s="4">
        <f t="shared" si="17"/>
        <v>782</v>
      </c>
      <c r="AK74" s="4">
        <f t="shared" si="17"/>
        <v>729</v>
      </c>
      <c r="AL74" s="4">
        <f t="shared" si="17"/>
        <v>658</v>
      </c>
      <c r="AM74" s="4">
        <f t="shared" si="17"/>
        <v>639</v>
      </c>
      <c r="AN74" s="4">
        <f t="shared" si="17"/>
        <v>577.51884199999995</v>
      </c>
      <c r="AO74" s="4">
        <f t="shared" si="17"/>
        <v>541.17988300000002</v>
      </c>
      <c r="AP74" s="4">
        <f t="shared" si="17"/>
        <v>413.59980100000001</v>
      </c>
      <c r="AQ74" s="4">
        <f t="shared" si="17"/>
        <v>310</v>
      </c>
      <c r="AR74" s="4">
        <f t="shared" si="17"/>
        <v>266.14649500000002</v>
      </c>
      <c r="AS74" s="4">
        <f t="shared" si="17"/>
        <v>237.652613</v>
      </c>
      <c r="AT74" s="4">
        <f t="shared" si="17"/>
        <v>191.44550412683063</v>
      </c>
      <c r="AU74" s="4">
        <f t="shared" si="17"/>
        <v>154.50081351376423</v>
      </c>
      <c r="AV74" s="4">
        <f t="shared" si="17"/>
        <v>162.81944898104106</v>
      </c>
      <c r="AW74" s="4">
        <f t="shared" si="17"/>
        <v>79.604203626667712</v>
      </c>
      <c r="AX74" s="4">
        <f t="shared" si="17"/>
        <v>86.916245175134605</v>
      </c>
      <c r="AY74" s="4">
        <f t="shared" si="17"/>
        <v>79.447783000000001</v>
      </c>
      <c r="AZ74" s="4">
        <f t="shared" si="17"/>
        <v>51.980410562879364</v>
      </c>
      <c r="BA74" s="4">
        <f t="shared" si="17"/>
        <v>44.913985196876823</v>
      </c>
      <c r="BB74" s="4">
        <f t="shared" si="17"/>
        <v>32.893025933254357</v>
      </c>
      <c r="BC74" s="4">
        <f t="shared" si="17"/>
        <v>51.5147366367882</v>
      </c>
      <c r="BD74" s="4">
        <f t="shared" si="17"/>
        <v>45.817090974869764</v>
      </c>
      <c r="BE74" s="4">
        <f t="shared" si="17"/>
        <v>38.019308927324047</v>
      </c>
      <c r="BF74" s="4">
        <f t="shared" si="17"/>
        <v>147.84885211323277</v>
      </c>
      <c r="BG74" s="4">
        <f t="shared" si="17"/>
        <v>175.29956971273987</v>
      </c>
      <c r="BH74" s="4">
        <f t="shared" si="17"/>
        <v>236.83378449980253</v>
      </c>
      <c r="BI74" s="4">
        <f t="shared" si="17"/>
        <v>236.31297188457458</v>
      </c>
      <c r="BJ74" s="4">
        <f t="shared" si="16"/>
        <v>297.41797164917017</v>
      </c>
    </row>
    <row r="75" spans="1:62" ht="15" customHeight="1" outlineLevel="1" x14ac:dyDescent="0.2">
      <c r="A75" s="56"/>
      <c r="B75" s="123" t="s">
        <v>4</v>
      </c>
      <c r="C75" s="4">
        <f t="shared" ref="C75:BI75" si="18">+C10</f>
        <v>1285</v>
      </c>
      <c r="D75" s="4">
        <f t="shared" si="18"/>
        <v>1258</v>
      </c>
      <c r="E75" s="4">
        <f t="shared" si="18"/>
        <v>1061</v>
      </c>
      <c r="F75" s="4">
        <f t="shared" si="18"/>
        <v>1361</v>
      </c>
      <c r="G75" s="4">
        <f t="shared" si="18"/>
        <v>1323</v>
      </c>
      <c r="H75" s="4">
        <f t="shared" si="18"/>
        <v>1225</v>
      </c>
      <c r="I75" s="4">
        <f t="shared" si="18"/>
        <v>1266</v>
      </c>
      <c r="J75" s="4">
        <f t="shared" si="18"/>
        <v>1478</v>
      </c>
      <c r="K75" s="4">
        <f t="shared" si="18"/>
        <v>1377</v>
      </c>
      <c r="L75" s="4">
        <f t="shared" si="18"/>
        <v>1792</v>
      </c>
      <c r="M75" s="4">
        <f t="shared" si="18"/>
        <v>1996</v>
      </c>
      <c r="N75" s="4">
        <f t="shared" si="18"/>
        <v>1988</v>
      </c>
      <c r="O75" s="4">
        <f t="shared" si="18"/>
        <v>1755</v>
      </c>
      <c r="P75" s="4">
        <f t="shared" si="18"/>
        <v>1450</v>
      </c>
      <c r="Q75" s="4">
        <f t="shared" si="18"/>
        <v>1387</v>
      </c>
      <c r="R75" s="4">
        <f t="shared" si="18"/>
        <v>1782</v>
      </c>
      <c r="S75" s="4">
        <f t="shared" si="18"/>
        <v>1776</v>
      </c>
      <c r="T75" s="4">
        <f t="shared" si="18"/>
        <v>1590</v>
      </c>
      <c r="U75" s="4">
        <f t="shared" si="18"/>
        <v>1886</v>
      </c>
      <c r="V75" s="4">
        <f t="shared" si="18"/>
        <v>1679</v>
      </c>
      <c r="W75" s="4">
        <f t="shared" si="18"/>
        <v>1481</v>
      </c>
      <c r="X75" s="4">
        <f t="shared" si="18"/>
        <v>2524</v>
      </c>
      <c r="Y75" s="4">
        <f t="shared" si="18"/>
        <v>2279</v>
      </c>
      <c r="Z75" s="4">
        <f t="shared" si="18"/>
        <v>2219</v>
      </c>
      <c r="AA75" s="4">
        <f t="shared" si="18"/>
        <v>1950</v>
      </c>
      <c r="AB75" s="4">
        <f t="shared" si="18"/>
        <v>1619</v>
      </c>
      <c r="AC75" s="4">
        <f t="shared" si="18"/>
        <v>1439</v>
      </c>
      <c r="AD75" s="4">
        <f t="shared" si="18"/>
        <v>1502</v>
      </c>
      <c r="AE75" s="4">
        <f t="shared" si="18"/>
        <v>1341</v>
      </c>
      <c r="AF75" s="4">
        <f t="shared" si="18"/>
        <v>1139</v>
      </c>
      <c r="AG75" s="4">
        <f t="shared" si="18"/>
        <v>926</v>
      </c>
      <c r="AH75" s="4">
        <f t="shared" si="18"/>
        <v>753</v>
      </c>
      <c r="AI75" s="4">
        <f t="shared" si="18"/>
        <v>691</v>
      </c>
      <c r="AJ75" s="4">
        <f t="shared" si="18"/>
        <v>2889</v>
      </c>
      <c r="AK75" s="4">
        <f t="shared" si="18"/>
        <v>3079</v>
      </c>
      <c r="AL75" s="4">
        <f t="shared" si="18"/>
        <v>2945</v>
      </c>
      <c r="AM75" s="4">
        <f t="shared" si="18"/>
        <v>2932</v>
      </c>
      <c r="AN75" s="4">
        <f t="shared" si="18"/>
        <v>2841.2429069999998</v>
      </c>
      <c r="AO75" s="4">
        <f t="shared" si="18"/>
        <v>2541</v>
      </c>
      <c r="AP75" s="4">
        <f t="shared" si="18"/>
        <v>2192</v>
      </c>
      <c r="AQ75" s="4">
        <f t="shared" si="18"/>
        <v>2731</v>
      </c>
      <c r="AR75" s="4">
        <f t="shared" si="18"/>
        <v>2480.4739533875495</v>
      </c>
      <c r="AS75" s="4">
        <f t="shared" si="18"/>
        <v>2023.076217</v>
      </c>
      <c r="AT75" s="4">
        <f t="shared" si="18"/>
        <v>1654.6322902296638</v>
      </c>
      <c r="AU75" s="4">
        <f t="shared" si="18"/>
        <v>1624.6686023418888</v>
      </c>
      <c r="AV75" s="4">
        <f t="shared" si="18"/>
        <v>1552.2573204362168</v>
      </c>
      <c r="AW75" s="4">
        <f t="shared" si="18"/>
        <v>1367.8304958093099</v>
      </c>
      <c r="AX75" s="4">
        <f t="shared" si="18"/>
        <v>1403.912916</v>
      </c>
      <c r="AY75" s="4">
        <f t="shared" si="18"/>
        <v>1499.6868806255643</v>
      </c>
      <c r="AZ75" s="4">
        <f t="shared" si="18"/>
        <v>1351.3697559842751</v>
      </c>
      <c r="BA75" s="4">
        <f t="shared" si="18"/>
        <v>1590.3510137953913</v>
      </c>
      <c r="BB75" s="4">
        <f t="shared" si="18"/>
        <v>1472.7132615695632</v>
      </c>
      <c r="BC75" s="4">
        <f t="shared" si="18"/>
        <v>1408.7429897635366</v>
      </c>
      <c r="BD75" s="4">
        <f t="shared" si="18"/>
        <v>1210.2565239586563</v>
      </c>
      <c r="BE75" s="4">
        <f t="shared" si="18"/>
        <v>1373.4295154632175</v>
      </c>
      <c r="BF75" s="4">
        <f t="shared" si="18"/>
        <v>1257.4477161615348</v>
      </c>
      <c r="BG75" s="4">
        <f t="shared" si="18"/>
        <v>1212.0350931760963</v>
      </c>
      <c r="BH75" s="4">
        <f t="shared" si="18"/>
        <v>921.1517083350119</v>
      </c>
      <c r="BI75" s="4">
        <f t="shared" si="18"/>
        <v>950.67790152477721</v>
      </c>
      <c r="BJ75" s="4">
        <f t="shared" si="16"/>
        <v>928.33403973069085</v>
      </c>
    </row>
    <row r="76" spans="1:62" ht="15" customHeight="1" outlineLevel="1" x14ac:dyDescent="0.2">
      <c r="A76" s="56"/>
      <c r="B76" s="12" t="s">
        <v>5</v>
      </c>
      <c r="C76" s="13">
        <f t="shared" ref="C76:BI76" si="19">+C11</f>
        <v>824</v>
      </c>
      <c r="D76" s="13">
        <f t="shared" si="19"/>
        <v>821</v>
      </c>
      <c r="E76" s="13">
        <f t="shared" si="19"/>
        <v>697</v>
      </c>
      <c r="F76" s="13">
        <f t="shared" si="19"/>
        <v>1007</v>
      </c>
      <c r="G76" s="13">
        <f t="shared" si="19"/>
        <v>860</v>
      </c>
      <c r="H76" s="13">
        <f t="shared" si="19"/>
        <v>823</v>
      </c>
      <c r="I76" s="13">
        <f t="shared" si="19"/>
        <v>757</v>
      </c>
      <c r="J76" s="13">
        <f t="shared" si="19"/>
        <v>723</v>
      </c>
      <c r="K76" s="13">
        <f t="shared" si="19"/>
        <v>626</v>
      </c>
      <c r="L76" s="13">
        <f t="shared" si="19"/>
        <v>520</v>
      </c>
      <c r="M76" s="13">
        <f t="shared" si="19"/>
        <v>531</v>
      </c>
      <c r="N76" s="13">
        <f t="shared" si="19"/>
        <v>581</v>
      </c>
      <c r="O76" s="13">
        <f t="shared" si="19"/>
        <v>454</v>
      </c>
      <c r="P76" s="13">
        <f t="shared" si="19"/>
        <v>349</v>
      </c>
      <c r="Q76" s="13">
        <f t="shared" si="19"/>
        <v>402</v>
      </c>
      <c r="R76" s="13">
        <f t="shared" si="19"/>
        <v>941</v>
      </c>
      <c r="S76" s="13">
        <f t="shared" si="19"/>
        <v>1005</v>
      </c>
      <c r="T76" s="13">
        <f t="shared" si="19"/>
        <v>913</v>
      </c>
      <c r="U76" s="13">
        <f t="shared" si="19"/>
        <v>835</v>
      </c>
      <c r="V76" s="13">
        <f t="shared" si="19"/>
        <v>775</v>
      </c>
      <c r="W76" s="13">
        <f t="shared" si="19"/>
        <v>761</v>
      </c>
      <c r="X76" s="13">
        <f t="shared" si="19"/>
        <v>693</v>
      </c>
      <c r="Y76" s="13">
        <f t="shared" si="19"/>
        <v>592</v>
      </c>
      <c r="Z76" s="13">
        <f t="shared" si="19"/>
        <v>517</v>
      </c>
      <c r="AA76" s="13">
        <f t="shared" si="19"/>
        <v>468</v>
      </c>
      <c r="AB76" s="13">
        <f t="shared" si="19"/>
        <v>359</v>
      </c>
      <c r="AC76" s="13">
        <f t="shared" si="19"/>
        <v>303</v>
      </c>
      <c r="AD76" s="13">
        <f t="shared" si="19"/>
        <v>552</v>
      </c>
      <c r="AE76" s="13">
        <f t="shared" si="19"/>
        <v>516</v>
      </c>
      <c r="AF76" s="13">
        <f t="shared" si="19"/>
        <v>426</v>
      </c>
      <c r="AG76" s="13">
        <f t="shared" si="19"/>
        <v>352</v>
      </c>
      <c r="AH76" s="13">
        <f t="shared" si="19"/>
        <v>307</v>
      </c>
      <c r="AI76" s="13">
        <f t="shared" si="19"/>
        <v>266</v>
      </c>
      <c r="AJ76" s="13">
        <f t="shared" si="19"/>
        <v>2603</v>
      </c>
      <c r="AK76" s="13">
        <f t="shared" si="19"/>
        <v>2703</v>
      </c>
      <c r="AL76" s="13">
        <f t="shared" si="19"/>
        <v>2632</v>
      </c>
      <c r="AM76" s="13">
        <f t="shared" si="19"/>
        <v>2680</v>
      </c>
      <c r="AN76" s="13">
        <f t="shared" si="19"/>
        <v>2369.071516</v>
      </c>
      <c r="AO76" s="13">
        <f t="shared" si="19"/>
        <v>2078</v>
      </c>
      <c r="AP76" s="13">
        <f t="shared" si="19"/>
        <v>1762</v>
      </c>
      <c r="AQ76" s="13">
        <f t="shared" si="19"/>
        <v>2152</v>
      </c>
      <c r="AR76" s="13">
        <f t="shared" si="19"/>
        <v>1896.2166327940297</v>
      </c>
      <c r="AS76" s="13">
        <f t="shared" si="19"/>
        <v>1480.2832100000001</v>
      </c>
      <c r="AT76" s="13">
        <f t="shared" si="19"/>
        <v>1168.4163918841014</v>
      </c>
      <c r="AU76" s="13">
        <f t="shared" si="19"/>
        <v>997.14742192940105</v>
      </c>
      <c r="AV76" s="13">
        <f t="shared" si="19"/>
        <v>746.16047521756582</v>
      </c>
      <c r="AW76" s="13">
        <f t="shared" si="19"/>
        <v>683.77791440652356</v>
      </c>
      <c r="AX76" s="13">
        <f t="shared" si="19"/>
        <v>647.44553099999996</v>
      </c>
      <c r="AY76" s="13">
        <f t="shared" si="19"/>
        <v>816.96547962556417</v>
      </c>
      <c r="AZ76" s="13">
        <f t="shared" si="19"/>
        <v>590.47057847175734</v>
      </c>
      <c r="BA76" s="13">
        <f t="shared" si="19"/>
        <v>475.30613737465671</v>
      </c>
      <c r="BB76" s="13">
        <f t="shared" si="19"/>
        <v>412.77715703589109</v>
      </c>
      <c r="BC76" s="13">
        <f t="shared" si="19"/>
        <v>446.27852923027314</v>
      </c>
      <c r="BD76" s="13">
        <f t="shared" si="19"/>
        <v>392.22100474506692</v>
      </c>
      <c r="BE76" s="13">
        <f t="shared" si="19"/>
        <v>666.35512691841006</v>
      </c>
      <c r="BF76" s="13">
        <f t="shared" si="19"/>
        <v>651.90157858372504</v>
      </c>
      <c r="BG76" s="13">
        <f t="shared" si="19"/>
        <v>676.28842271371195</v>
      </c>
      <c r="BH76" s="13">
        <f t="shared" si="19"/>
        <v>614.23630121794326</v>
      </c>
      <c r="BI76" s="13">
        <f t="shared" si="19"/>
        <v>663.06865636414148</v>
      </c>
      <c r="BJ76" s="13">
        <f t="shared" si="16"/>
        <v>628.81316807487133</v>
      </c>
    </row>
    <row r="77" spans="1:62" ht="15" customHeight="1" outlineLevel="1" x14ac:dyDescent="0.2">
      <c r="A77" s="56"/>
      <c r="B77" s="12" t="s">
        <v>6</v>
      </c>
      <c r="C77" s="13">
        <f t="shared" ref="C77:BI77" si="20">+C12</f>
        <v>111</v>
      </c>
      <c r="D77" s="13">
        <f t="shared" si="20"/>
        <v>122</v>
      </c>
      <c r="E77" s="13">
        <f t="shared" si="20"/>
        <v>84</v>
      </c>
      <c r="F77" s="13">
        <f t="shared" si="20"/>
        <v>91</v>
      </c>
      <c r="G77" s="13">
        <f t="shared" si="20"/>
        <v>227</v>
      </c>
      <c r="H77" s="13">
        <f t="shared" si="20"/>
        <v>194</v>
      </c>
      <c r="I77" s="13">
        <f t="shared" si="20"/>
        <v>328</v>
      </c>
      <c r="J77" s="13">
        <f t="shared" si="20"/>
        <v>552</v>
      </c>
      <c r="K77" s="13">
        <f t="shared" si="20"/>
        <v>517</v>
      </c>
      <c r="L77" s="13">
        <f t="shared" si="20"/>
        <v>483</v>
      </c>
      <c r="M77" s="13">
        <f t="shared" si="20"/>
        <v>722</v>
      </c>
      <c r="N77" s="13">
        <f t="shared" si="20"/>
        <v>697</v>
      </c>
      <c r="O77" s="13">
        <f t="shared" si="20"/>
        <v>627</v>
      </c>
      <c r="P77" s="13">
        <f t="shared" si="20"/>
        <v>524</v>
      </c>
      <c r="Q77" s="13">
        <f t="shared" si="20"/>
        <v>493</v>
      </c>
      <c r="R77" s="13">
        <f t="shared" si="20"/>
        <v>366</v>
      </c>
      <c r="S77" s="13">
        <f t="shared" si="20"/>
        <v>373</v>
      </c>
      <c r="T77" s="13">
        <f t="shared" si="20"/>
        <v>324</v>
      </c>
      <c r="U77" s="13">
        <f t="shared" si="20"/>
        <v>796</v>
      </c>
      <c r="V77" s="13">
        <f t="shared" si="20"/>
        <v>715</v>
      </c>
      <c r="W77" s="13">
        <f t="shared" si="20"/>
        <v>556</v>
      </c>
      <c r="X77" s="13">
        <f t="shared" si="20"/>
        <v>1692</v>
      </c>
      <c r="Y77" s="13">
        <f t="shared" si="20"/>
        <v>1546</v>
      </c>
      <c r="Z77" s="13">
        <f t="shared" si="20"/>
        <v>1565</v>
      </c>
      <c r="AA77" s="13">
        <f t="shared" si="20"/>
        <v>1350</v>
      </c>
      <c r="AB77" s="13">
        <f t="shared" si="20"/>
        <v>1229</v>
      </c>
      <c r="AC77" s="13">
        <f t="shared" si="20"/>
        <v>1112</v>
      </c>
      <c r="AD77" s="13">
        <f t="shared" si="20"/>
        <v>947</v>
      </c>
      <c r="AE77" s="13">
        <f t="shared" si="20"/>
        <v>823</v>
      </c>
      <c r="AF77" s="13">
        <f t="shared" si="20"/>
        <v>711</v>
      </c>
      <c r="AG77" s="13">
        <f t="shared" si="20"/>
        <v>573</v>
      </c>
      <c r="AH77" s="13">
        <f t="shared" si="20"/>
        <v>446</v>
      </c>
      <c r="AI77" s="13">
        <f t="shared" si="20"/>
        <v>425</v>
      </c>
      <c r="AJ77" s="13">
        <f t="shared" si="20"/>
        <v>286</v>
      </c>
      <c r="AK77" s="13">
        <f t="shared" si="20"/>
        <v>376</v>
      </c>
      <c r="AL77" s="13">
        <f t="shared" si="20"/>
        <v>313</v>
      </c>
      <c r="AM77" s="13">
        <f t="shared" si="20"/>
        <v>252</v>
      </c>
      <c r="AN77" s="13">
        <f t="shared" si="20"/>
        <v>472.17139100000003</v>
      </c>
      <c r="AO77" s="13">
        <f t="shared" si="20"/>
        <v>463</v>
      </c>
      <c r="AP77" s="13">
        <f t="shared" si="20"/>
        <v>430</v>
      </c>
      <c r="AQ77" s="13">
        <f t="shared" si="20"/>
        <v>579</v>
      </c>
      <c r="AR77" s="13">
        <f t="shared" si="20"/>
        <v>584.25732059351992</v>
      </c>
      <c r="AS77" s="13">
        <f t="shared" si="20"/>
        <v>542.79300699999999</v>
      </c>
      <c r="AT77" s="13">
        <f t="shared" si="20"/>
        <v>486.21589834556244</v>
      </c>
      <c r="AU77" s="13">
        <f t="shared" si="20"/>
        <v>627.52118041248775</v>
      </c>
      <c r="AV77" s="13">
        <f t="shared" si="20"/>
        <v>806.09684521865097</v>
      </c>
      <c r="AW77" s="13">
        <f t="shared" si="20"/>
        <v>684.05258140278647</v>
      </c>
      <c r="AX77" s="13">
        <f t="shared" si="20"/>
        <v>756.46738500000004</v>
      </c>
      <c r="AY77" s="13">
        <f t="shared" si="20"/>
        <v>682.72140100000001</v>
      </c>
      <c r="AZ77" s="13">
        <f t="shared" si="20"/>
        <v>760.89917751251778</v>
      </c>
      <c r="BA77" s="13">
        <f t="shared" si="20"/>
        <v>1115.0448764207345</v>
      </c>
      <c r="BB77" s="13">
        <f t="shared" si="20"/>
        <v>1059.9361045336721</v>
      </c>
      <c r="BC77" s="13">
        <f t="shared" si="20"/>
        <v>962.46446053326349</v>
      </c>
      <c r="BD77" s="13">
        <f t="shared" si="20"/>
        <v>759.37463286125603</v>
      </c>
      <c r="BE77" s="13">
        <f t="shared" si="20"/>
        <v>662.95837541526089</v>
      </c>
      <c r="BF77" s="13">
        <f t="shared" si="20"/>
        <v>576.98655268650987</v>
      </c>
      <c r="BG77" s="13">
        <f t="shared" si="20"/>
        <v>522.57419036238434</v>
      </c>
      <c r="BH77" s="13">
        <f t="shared" si="20"/>
        <v>306.16504207740701</v>
      </c>
      <c r="BI77" s="13">
        <f t="shared" si="20"/>
        <v>286.85888012097405</v>
      </c>
      <c r="BJ77" s="13">
        <f t="shared" si="16"/>
        <v>298.77050661615783</v>
      </c>
    </row>
    <row r="78" spans="1:62" ht="15" customHeight="1" outlineLevel="1" x14ac:dyDescent="0.2">
      <c r="A78" s="56"/>
      <c r="B78" s="12" t="s">
        <v>229</v>
      </c>
      <c r="C78" s="13" t="str">
        <f t="shared" ref="C78:BI78" si="21">+C13</f>
        <v>-</v>
      </c>
      <c r="D78" s="13" t="str">
        <f t="shared" si="21"/>
        <v>-</v>
      </c>
      <c r="E78" s="13" t="str">
        <f t="shared" si="21"/>
        <v>-</v>
      </c>
      <c r="F78" s="13" t="str">
        <f t="shared" si="21"/>
        <v>-</v>
      </c>
      <c r="G78" s="13" t="str">
        <f t="shared" si="21"/>
        <v>-</v>
      </c>
      <c r="H78" s="13" t="str">
        <f t="shared" si="21"/>
        <v>-</v>
      </c>
      <c r="I78" s="13" t="str">
        <f t="shared" si="21"/>
        <v>-</v>
      </c>
      <c r="J78" s="13" t="str">
        <f t="shared" si="21"/>
        <v>-</v>
      </c>
      <c r="K78" s="13" t="str">
        <f t="shared" si="21"/>
        <v>-</v>
      </c>
      <c r="L78" s="13" t="str">
        <f t="shared" si="21"/>
        <v>-</v>
      </c>
      <c r="M78" s="13" t="str">
        <f t="shared" si="21"/>
        <v>-</v>
      </c>
      <c r="N78" s="13" t="str">
        <f t="shared" si="21"/>
        <v>-</v>
      </c>
      <c r="O78" s="13" t="str">
        <f t="shared" si="21"/>
        <v>-</v>
      </c>
      <c r="P78" s="13" t="str">
        <f t="shared" si="21"/>
        <v>-</v>
      </c>
      <c r="Q78" s="13" t="str">
        <f t="shared" si="21"/>
        <v>-</v>
      </c>
      <c r="R78" s="13" t="str">
        <f t="shared" si="21"/>
        <v>-</v>
      </c>
      <c r="S78" s="13" t="str">
        <f t="shared" si="21"/>
        <v>-</v>
      </c>
      <c r="T78" s="13" t="str">
        <f t="shared" si="21"/>
        <v>-</v>
      </c>
      <c r="U78" s="13" t="str">
        <f t="shared" si="21"/>
        <v>-</v>
      </c>
      <c r="V78" s="13" t="str">
        <f t="shared" si="21"/>
        <v>-</v>
      </c>
      <c r="W78" s="13" t="str">
        <f t="shared" si="21"/>
        <v>-</v>
      </c>
      <c r="X78" s="13" t="str">
        <f t="shared" si="21"/>
        <v>-</v>
      </c>
      <c r="Y78" s="13" t="str">
        <f t="shared" si="21"/>
        <v>-</v>
      </c>
      <c r="Z78" s="13" t="str">
        <f t="shared" si="21"/>
        <v>-</v>
      </c>
      <c r="AA78" s="13" t="str">
        <f t="shared" si="21"/>
        <v>-</v>
      </c>
      <c r="AB78" s="13" t="str">
        <f t="shared" si="21"/>
        <v>-</v>
      </c>
      <c r="AC78" s="13" t="str">
        <f t="shared" si="21"/>
        <v>-</v>
      </c>
      <c r="AD78" s="13" t="str">
        <f t="shared" si="21"/>
        <v>-</v>
      </c>
      <c r="AE78" s="13" t="str">
        <f t="shared" si="21"/>
        <v>-</v>
      </c>
      <c r="AF78" s="13" t="str">
        <f t="shared" si="21"/>
        <v>-</v>
      </c>
      <c r="AG78" s="13" t="str">
        <f t="shared" si="21"/>
        <v>-</v>
      </c>
      <c r="AH78" s="13" t="str">
        <f t="shared" si="21"/>
        <v>-</v>
      </c>
      <c r="AI78" s="13" t="str">
        <f t="shared" si="21"/>
        <v>-</v>
      </c>
      <c r="AJ78" s="13" t="str">
        <f t="shared" si="21"/>
        <v>-</v>
      </c>
      <c r="AK78" s="13" t="str">
        <f t="shared" si="21"/>
        <v>-</v>
      </c>
      <c r="AL78" s="13" t="str">
        <f t="shared" si="21"/>
        <v>-</v>
      </c>
      <c r="AM78" s="13" t="str">
        <f t="shared" si="21"/>
        <v>-</v>
      </c>
      <c r="AN78" s="13" t="str">
        <f t="shared" si="21"/>
        <v>-</v>
      </c>
      <c r="AO78" s="13" t="str">
        <f t="shared" si="21"/>
        <v>-</v>
      </c>
      <c r="AP78" s="13" t="str">
        <f t="shared" si="21"/>
        <v>-</v>
      </c>
      <c r="AQ78" s="13" t="str">
        <f t="shared" si="21"/>
        <v>-</v>
      </c>
      <c r="AR78" s="13" t="str">
        <f t="shared" si="21"/>
        <v>-</v>
      </c>
      <c r="AS78" s="13" t="str">
        <f t="shared" si="21"/>
        <v>-</v>
      </c>
      <c r="AT78" s="13" t="str">
        <f t="shared" si="21"/>
        <v>-</v>
      </c>
      <c r="AU78" s="13" t="str">
        <f t="shared" si="21"/>
        <v>-</v>
      </c>
      <c r="AV78" s="13" t="str">
        <f t="shared" si="21"/>
        <v>-</v>
      </c>
      <c r="AW78" s="13" t="str">
        <f t="shared" si="21"/>
        <v>-</v>
      </c>
      <c r="AX78" s="13" t="str">
        <f t="shared" si="21"/>
        <v>-</v>
      </c>
      <c r="AY78" s="13" t="str">
        <f t="shared" si="21"/>
        <v>-</v>
      </c>
      <c r="AZ78" s="13" t="str">
        <f t="shared" si="21"/>
        <v>-</v>
      </c>
      <c r="BA78" s="13" t="str">
        <f t="shared" si="21"/>
        <v>-</v>
      </c>
      <c r="BB78" s="13" t="str">
        <f t="shared" si="21"/>
        <v>-</v>
      </c>
      <c r="BC78" s="13" t="str">
        <f t="shared" si="21"/>
        <v>-</v>
      </c>
      <c r="BD78" s="13">
        <f t="shared" si="21"/>
        <v>58.660886352333399</v>
      </c>
      <c r="BE78" s="13">
        <f t="shared" si="21"/>
        <v>44.116013129546701</v>
      </c>
      <c r="BF78" s="13">
        <f t="shared" si="21"/>
        <v>28.559584891299963</v>
      </c>
      <c r="BG78" s="13">
        <f t="shared" si="21"/>
        <v>13.1724801</v>
      </c>
      <c r="BH78" s="13">
        <f t="shared" si="21"/>
        <v>0.75036503966167567</v>
      </c>
      <c r="BI78" s="13">
        <f t="shared" si="21"/>
        <v>0.75036503966167567</v>
      </c>
      <c r="BJ78" s="13">
        <f t="shared" si="16"/>
        <v>0.75036503966167567</v>
      </c>
    </row>
    <row r="79" spans="1:62" ht="15" customHeight="1" outlineLevel="1" x14ac:dyDescent="0.2">
      <c r="A79" s="56"/>
      <c r="B79" s="12" t="s">
        <v>63</v>
      </c>
      <c r="C79" s="13">
        <f t="shared" ref="C79:BI79" si="22">+C14</f>
        <v>333</v>
      </c>
      <c r="D79" s="13">
        <f t="shared" si="22"/>
        <v>299</v>
      </c>
      <c r="E79" s="13">
        <f t="shared" si="22"/>
        <v>270</v>
      </c>
      <c r="F79" s="13">
        <f t="shared" si="22"/>
        <v>251</v>
      </c>
      <c r="G79" s="13">
        <f t="shared" si="22"/>
        <v>220</v>
      </c>
      <c r="H79" s="13">
        <f t="shared" si="22"/>
        <v>194</v>
      </c>
      <c r="I79" s="13">
        <f t="shared" si="22"/>
        <v>168</v>
      </c>
      <c r="J79" s="13">
        <f t="shared" si="22"/>
        <v>193</v>
      </c>
      <c r="K79" s="13">
        <f t="shared" si="22"/>
        <v>227</v>
      </c>
      <c r="L79" s="13">
        <f t="shared" si="22"/>
        <v>789</v>
      </c>
      <c r="M79" s="13">
        <f t="shared" si="22"/>
        <v>743</v>
      </c>
      <c r="N79" s="13">
        <f t="shared" si="22"/>
        <v>710</v>
      </c>
      <c r="O79" s="13">
        <f t="shared" si="22"/>
        <v>674</v>
      </c>
      <c r="P79" s="13">
        <f t="shared" si="22"/>
        <v>577</v>
      </c>
      <c r="Q79" s="13">
        <f t="shared" si="22"/>
        <v>492</v>
      </c>
      <c r="R79" s="13">
        <f t="shared" si="22"/>
        <v>475</v>
      </c>
      <c r="S79" s="13">
        <f t="shared" si="22"/>
        <v>398</v>
      </c>
      <c r="T79" s="13">
        <f t="shared" si="22"/>
        <v>353</v>
      </c>
      <c r="U79" s="13">
        <f t="shared" si="22"/>
        <v>255</v>
      </c>
      <c r="V79" s="13">
        <f t="shared" si="22"/>
        <v>189</v>
      </c>
      <c r="W79" s="13">
        <f t="shared" si="22"/>
        <v>164</v>
      </c>
      <c r="X79" s="13">
        <f t="shared" si="22"/>
        <v>139</v>
      </c>
      <c r="Y79" s="13">
        <f t="shared" si="22"/>
        <v>141</v>
      </c>
      <c r="Z79" s="13">
        <f t="shared" si="22"/>
        <v>137</v>
      </c>
      <c r="AA79" s="13">
        <f t="shared" si="22"/>
        <v>132</v>
      </c>
      <c r="AB79" s="13">
        <f t="shared" si="22"/>
        <v>31</v>
      </c>
      <c r="AC79" s="13">
        <f t="shared" si="22"/>
        <v>24</v>
      </c>
      <c r="AD79" s="13">
        <f t="shared" si="22"/>
        <v>3</v>
      </c>
      <c r="AE79" s="13">
        <f t="shared" si="22"/>
        <v>2</v>
      </c>
      <c r="AF79" s="13">
        <f t="shared" si="22"/>
        <v>2</v>
      </c>
      <c r="AG79" s="13">
        <f t="shared" si="22"/>
        <v>1</v>
      </c>
      <c r="AH79" s="13" t="str">
        <f t="shared" si="22"/>
        <v>-</v>
      </c>
      <c r="AI79" s="13" t="str">
        <f t="shared" si="22"/>
        <v>-</v>
      </c>
      <c r="AJ79" s="13" t="str">
        <f t="shared" si="22"/>
        <v>-</v>
      </c>
      <c r="AK79" s="13" t="str">
        <f t="shared" si="22"/>
        <v>-</v>
      </c>
      <c r="AL79" s="13" t="str">
        <f t="shared" si="22"/>
        <v>-</v>
      </c>
      <c r="AM79" s="13" t="str">
        <f t="shared" si="22"/>
        <v>-</v>
      </c>
      <c r="AN79" s="13" t="str">
        <f t="shared" si="22"/>
        <v>-</v>
      </c>
      <c r="AO79" s="13" t="str">
        <f t="shared" si="22"/>
        <v>-</v>
      </c>
      <c r="AP79" s="13" t="str">
        <f t="shared" si="22"/>
        <v>-</v>
      </c>
      <c r="AQ79" s="13" t="str">
        <f t="shared" si="22"/>
        <v>-</v>
      </c>
      <c r="AR79" s="13" t="str">
        <f t="shared" si="22"/>
        <v>-</v>
      </c>
      <c r="AS79" s="13" t="str">
        <f t="shared" si="22"/>
        <v>-</v>
      </c>
      <c r="AT79" s="13" t="str">
        <f t="shared" si="22"/>
        <v>-</v>
      </c>
      <c r="AU79" s="13" t="str">
        <f t="shared" si="22"/>
        <v>-</v>
      </c>
      <c r="AV79" s="13" t="str">
        <f t="shared" si="22"/>
        <v>-</v>
      </c>
      <c r="AW79" s="13" t="str">
        <f t="shared" si="22"/>
        <v>-</v>
      </c>
      <c r="AX79" s="13" t="str">
        <f t="shared" si="22"/>
        <v>-</v>
      </c>
      <c r="AY79" s="13" t="str">
        <f t="shared" si="22"/>
        <v>-</v>
      </c>
      <c r="AZ79" s="13" t="str">
        <f t="shared" si="22"/>
        <v>-</v>
      </c>
      <c r="BA79" s="13" t="str">
        <f t="shared" si="22"/>
        <v>-</v>
      </c>
      <c r="BB79" s="13" t="str">
        <f t="shared" si="22"/>
        <v>-</v>
      </c>
      <c r="BC79" s="13" t="str">
        <f t="shared" si="22"/>
        <v>-</v>
      </c>
      <c r="BD79" s="13" t="str">
        <f t="shared" si="22"/>
        <v>-</v>
      </c>
      <c r="BE79" s="13" t="str">
        <f t="shared" si="22"/>
        <v>-</v>
      </c>
      <c r="BF79" s="13" t="str">
        <f t="shared" si="22"/>
        <v>-</v>
      </c>
      <c r="BG79" s="13" t="str">
        <f t="shared" si="22"/>
        <v>-</v>
      </c>
      <c r="BH79" s="13" t="str">
        <f t="shared" si="22"/>
        <v>-</v>
      </c>
      <c r="BI79" s="13" t="str">
        <f t="shared" si="22"/>
        <v>-</v>
      </c>
      <c r="BJ79" s="13" t="str">
        <f t="shared" si="16"/>
        <v>-</v>
      </c>
    </row>
    <row r="80" spans="1:62" ht="15" customHeight="1" outlineLevel="1" x14ac:dyDescent="0.2">
      <c r="A80" s="56"/>
      <c r="B80" s="14" t="s">
        <v>136</v>
      </c>
      <c r="C80" s="15">
        <f t="shared" ref="C80:BI80" si="23">+C15</f>
        <v>17</v>
      </c>
      <c r="D80" s="15">
        <f t="shared" si="23"/>
        <v>16</v>
      </c>
      <c r="E80" s="15">
        <f t="shared" si="23"/>
        <v>10</v>
      </c>
      <c r="F80" s="15">
        <f t="shared" si="23"/>
        <v>12</v>
      </c>
      <c r="G80" s="15">
        <f t="shared" si="23"/>
        <v>16</v>
      </c>
      <c r="H80" s="15">
        <f t="shared" si="23"/>
        <v>14</v>
      </c>
      <c r="I80" s="15">
        <f t="shared" si="23"/>
        <v>13</v>
      </c>
      <c r="J80" s="15">
        <f t="shared" si="23"/>
        <v>10</v>
      </c>
      <c r="K80" s="15">
        <f t="shared" si="23"/>
        <v>7</v>
      </c>
      <c r="L80" s="15" t="str">
        <f t="shared" si="23"/>
        <v>-</v>
      </c>
      <c r="M80" s="15" t="str">
        <f t="shared" si="23"/>
        <v>-</v>
      </c>
      <c r="N80" s="15" t="str">
        <f t="shared" si="23"/>
        <v>-</v>
      </c>
      <c r="O80" s="15" t="str">
        <f t="shared" si="23"/>
        <v>-</v>
      </c>
      <c r="P80" s="15" t="str">
        <f t="shared" si="23"/>
        <v>-</v>
      </c>
      <c r="Q80" s="15" t="str">
        <f t="shared" si="23"/>
        <v>-</v>
      </c>
      <c r="R80" s="15" t="str">
        <f t="shared" si="23"/>
        <v>-</v>
      </c>
      <c r="S80" s="15" t="str">
        <f t="shared" si="23"/>
        <v>-</v>
      </c>
      <c r="T80" s="15" t="str">
        <f t="shared" si="23"/>
        <v>-</v>
      </c>
      <c r="U80" s="15" t="str">
        <f t="shared" si="23"/>
        <v>-</v>
      </c>
      <c r="V80" s="15" t="str">
        <f t="shared" si="23"/>
        <v>-</v>
      </c>
      <c r="W80" s="15" t="str">
        <f t="shared" si="23"/>
        <v>-</v>
      </c>
      <c r="X80" s="15" t="str">
        <f t="shared" si="23"/>
        <v>-</v>
      </c>
      <c r="Y80" s="15" t="str">
        <f t="shared" si="23"/>
        <v>-</v>
      </c>
      <c r="Z80" s="15" t="str">
        <f t="shared" si="23"/>
        <v>-</v>
      </c>
      <c r="AA80" s="15" t="str">
        <f t="shared" si="23"/>
        <v>-</v>
      </c>
      <c r="AB80" s="15" t="str">
        <f t="shared" si="23"/>
        <v>-</v>
      </c>
      <c r="AC80" s="15" t="str">
        <f t="shared" si="23"/>
        <v>-</v>
      </c>
      <c r="AD80" s="15" t="str">
        <f t="shared" si="23"/>
        <v>-</v>
      </c>
      <c r="AE80" s="15" t="str">
        <f t="shared" si="23"/>
        <v>-</v>
      </c>
      <c r="AF80" s="15" t="str">
        <f t="shared" si="23"/>
        <v>-</v>
      </c>
      <c r="AG80" s="15" t="str">
        <f t="shared" si="23"/>
        <v>-</v>
      </c>
      <c r="AH80" s="15" t="str">
        <f t="shared" si="23"/>
        <v>-</v>
      </c>
      <c r="AI80" s="15" t="str">
        <f t="shared" si="23"/>
        <v>-</v>
      </c>
      <c r="AJ80" s="15" t="str">
        <f t="shared" si="23"/>
        <v>-</v>
      </c>
      <c r="AK80" s="15" t="str">
        <f t="shared" si="23"/>
        <v>-</v>
      </c>
      <c r="AL80" s="15" t="str">
        <f t="shared" si="23"/>
        <v>-</v>
      </c>
      <c r="AM80" s="15" t="str">
        <f t="shared" si="23"/>
        <v>-</v>
      </c>
      <c r="AN80" s="15" t="str">
        <f t="shared" si="23"/>
        <v>-</v>
      </c>
      <c r="AO80" s="15" t="str">
        <f t="shared" si="23"/>
        <v>-</v>
      </c>
      <c r="AP80" s="15" t="str">
        <f t="shared" si="23"/>
        <v>-</v>
      </c>
      <c r="AQ80" s="15" t="str">
        <f t="shared" si="23"/>
        <v>-</v>
      </c>
      <c r="AR80" s="15" t="str">
        <f t="shared" si="23"/>
        <v>-</v>
      </c>
      <c r="AS80" s="15" t="str">
        <f t="shared" si="23"/>
        <v>-</v>
      </c>
      <c r="AT80" s="15" t="str">
        <f t="shared" si="23"/>
        <v>-</v>
      </c>
      <c r="AU80" s="15" t="str">
        <f t="shared" si="23"/>
        <v>-</v>
      </c>
      <c r="AV80" s="15" t="str">
        <f t="shared" si="23"/>
        <v>-</v>
      </c>
      <c r="AW80" s="15" t="str">
        <f t="shared" si="23"/>
        <v>-</v>
      </c>
      <c r="AX80" s="15" t="str">
        <f t="shared" si="23"/>
        <v>-</v>
      </c>
      <c r="AY80" s="15" t="str">
        <f t="shared" si="23"/>
        <v>-</v>
      </c>
      <c r="AZ80" s="15" t="str">
        <f t="shared" si="23"/>
        <v>-</v>
      </c>
      <c r="BA80" s="15" t="str">
        <f t="shared" si="23"/>
        <v>-</v>
      </c>
      <c r="BB80" s="15" t="str">
        <f t="shared" si="23"/>
        <v>-</v>
      </c>
      <c r="BC80" s="15" t="str">
        <f t="shared" si="23"/>
        <v>-</v>
      </c>
      <c r="BD80" s="15" t="str">
        <f t="shared" si="23"/>
        <v>-</v>
      </c>
      <c r="BE80" s="15" t="str">
        <f t="shared" si="23"/>
        <v>-</v>
      </c>
      <c r="BF80" s="15" t="str">
        <f t="shared" si="23"/>
        <v>-</v>
      </c>
      <c r="BG80" s="15" t="str">
        <f t="shared" si="23"/>
        <v>-</v>
      </c>
      <c r="BH80" s="15" t="str">
        <f t="shared" si="23"/>
        <v>-</v>
      </c>
      <c r="BI80" s="15" t="str">
        <f t="shared" si="23"/>
        <v>-</v>
      </c>
      <c r="BJ80" s="15" t="str">
        <f t="shared" si="16"/>
        <v>-</v>
      </c>
    </row>
    <row r="81" spans="1:62" ht="14.1" customHeight="1" outlineLevel="1" x14ac:dyDescent="0.2">
      <c r="A81" s="56"/>
      <c r="B81" s="16" t="s">
        <v>80</v>
      </c>
    </row>
    <row r="82" spans="1:62" ht="14.1" customHeight="1" outlineLevel="1" x14ac:dyDescent="0.2">
      <c r="A82" s="56"/>
      <c r="B82" s="11" t="s">
        <v>43</v>
      </c>
      <c r="C82" s="3">
        <f t="shared" ref="C82:BI82" si="24">+C17</f>
        <v>575</v>
      </c>
      <c r="D82" s="3">
        <f t="shared" si="24"/>
        <v>597</v>
      </c>
      <c r="E82" s="3">
        <f t="shared" si="24"/>
        <v>516</v>
      </c>
      <c r="F82" s="3">
        <f t="shared" si="24"/>
        <v>466</v>
      </c>
      <c r="G82" s="3">
        <f t="shared" si="24"/>
        <v>392</v>
      </c>
      <c r="H82" s="3">
        <f t="shared" si="24"/>
        <v>396</v>
      </c>
      <c r="I82" s="3">
        <f t="shared" si="24"/>
        <v>355</v>
      </c>
      <c r="J82" s="3">
        <f t="shared" si="24"/>
        <v>315</v>
      </c>
      <c r="K82" s="3">
        <f t="shared" si="24"/>
        <v>277</v>
      </c>
      <c r="L82" s="3">
        <f t="shared" si="24"/>
        <v>208</v>
      </c>
      <c r="M82" s="3">
        <f t="shared" si="24"/>
        <v>261</v>
      </c>
      <c r="N82" s="3">
        <f t="shared" si="24"/>
        <v>362</v>
      </c>
      <c r="O82" s="3">
        <f t="shared" si="24"/>
        <v>271</v>
      </c>
      <c r="P82" s="3">
        <f t="shared" si="24"/>
        <v>182</v>
      </c>
      <c r="Q82" s="3">
        <f t="shared" si="24"/>
        <v>161</v>
      </c>
      <c r="R82" s="3">
        <f t="shared" si="24"/>
        <v>746</v>
      </c>
      <c r="S82" s="3">
        <f t="shared" si="24"/>
        <v>712</v>
      </c>
      <c r="T82" s="3">
        <f t="shared" si="24"/>
        <v>702</v>
      </c>
      <c r="U82" s="3">
        <f t="shared" si="24"/>
        <v>683</v>
      </c>
      <c r="V82" s="3">
        <f t="shared" si="24"/>
        <v>633</v>
      </c>
      <c r="W82" s="3">
        <f t="shared" si="24"/>
        <v>600</v>
      </c>
      <c r="X82" s="3">
        <f t="shared" si="24"/>
        <v>558</v>
      </c>
      <c r="Y82" s="3">
        <f t="shared" si="24"/>
        <v>501</v>
      </c>
      <c r="Z82" s="3">
        <f t="shared" si="24"/>
        <v>450</v>
      </c>
      <c r="AA82" s="3">
        <f t="shared" si="24"/>
        <v>421</v>
      </c>
      <c r="AB82" s="3">
        <f t="shared" si="24"/>
        <v>319</v>
      </c>
      <c r="AC82" s="3">
        <f t="shared" si="24"/>
        <v>269</v>
      </c>
      <c r="AD82" s="3">
        <f t="shared" si="24"/>
        <v>526</v>
      </c>
      <c r="AE82" s="3">
        <f t="shared" si="24"/>
        <v>496</v>
      </c>
      <c r="AF82" s="3">
        <f t="shared" si="24"/>
        <v>402</v>
      </c>
      <c r="AG82" s="3">
        <f t="shared" si="24"/>
        <v>352</v>
      </c>
      <c r="AH82" s="3">
        <f t="shared" si="24"/>
        <v>442</v>
      </c>
      <c r="AI82" s="3">
        <f t="shared" si="24"/>
        <v>402</v>
      </c>
      <c r="AJ82" s="3">
        <f t="shared" si="24"/>
        <v>2409</v>
      </c>
      <c r="AK82" s="3">
        <f t="shared" si="24"/>
        <v>2287</v>
      </c>
      <c r="AL82" s="3">
        <f t="shared" si="24"/>
        <v>2227</v>
      </c>
      <c r="AM82" s="3">
        <f t="shared" si="24"/>
        <v>2279</v>
      </c>
      <c r="AN82" s="3">
        <f t="shared" si="24"/>
        <v>1962.0526689999999</v>
      </c>
      <c r="AO82" s="3">
        <f t="shared" si="24"/>
        <v>1678</v>
      </c>
      <c r="AP82" s="3">
        <f t="shared" si="24"/>
        <v>1367</v>
      </c>
      <c r="AQ82" s="3">
        <f t="shared" si="24"/>
        <v>1159</v>
      </c>
      <c r="AR82" s="3">
        <f t="shared" si="24"/>
        <v>1035.9878732419199</v>
      </c>
      <c r="AS82" s="3">
        <f t="shared" si="24"/>
        <v>680.24648500000001</v>
      </c>
      <c r="AT82" s="3">
        <f t="shared" si="24"/>
        <v>448.86398846532006</v>
      </c>
      <c r="AU82" s="3">
        <f t="shared" si="24"/>
        <v>348.08236748933939</v>
      </c>
      <c r="AV82" s="3">
        <f t="shared" si="24"/>
        <v>172.97718506997003</v>
      </c>
      <c r="AW82" s="3">
        <f t="shared" si="24"/>
        <v>204.0264221564191</v>
      </c>
      <c r="AX82" s="3">
        <f t="shared" si="24"/>
        <v>229.93423899999999</v>
      </c>
      <c r="AY82" s="3">
        <f t="shared" si="24"/>
        <v>423.37903162556421</v>
      </c>
      <c r="AZ82" s="3">
        <f t="shared" si="24"/>
        <v>339.00492941977473</v>
      </c>
      <c r="BA82" s="3">
        <f t="shared" si="24"/>
        <v>300.74278521485036</v>
      </c>
      <c r="BB82" s="3">
        <f t="shared" si="24"/>
        <v>277.43137085439179</v>
      </c>
      <c r="BC82" s="3">
        <f t="shared" si="24"/>
        <v>231.01717992491484</v>
      </c>
      <c r="BD82" s="3">
        <f t="shared" si="24"/>
        <v>233.74030354612165</v>
      </c>
      <c r="BE82" s="3">
        <f t="shared" si="24"/>
        <v>178.33940303379208</v>
      </c>
      <c r="BF82" s="3">
        <f t="shared" si="24"/>
        <v>157.8450686091345</v>
      </c>
      <c r="BG82" s="3">
        <f t="shared" si="24"/>
        <v>139.15076724035865</v>
      </c>
      <c r="BH82" s="3">
        <f t="shared" si="24"/>
        <v>119.132936</v>
      </c>
      <c r="BI82" s="3">
        <f t="shared" si="24"/>
        <v>114.024019</v>
      </c>
      <c r="BJ82" s="3">
        <f t="shared" ref="BJ82:BJ92" si="25">+BJ17</f>
        <v>103.5</v>
      </c>
    </row>
    <row r="83" spans="1:62" ht="14.1" customHeight="1" outlineLevel="1" x14ac:dyDescent="0.2">
      <c r="A83" s="56"/>
      <c r="B83" s="11" t="s">
        <v>44</v>
      </c>
      <c r="C83" s="3">
        <f t="shared" ref="C83:BI83" si="26">+C18</f>
        <v>288</v>
      </c>
      <c r="D83" s="3">
        <f t="shared" si="26"/>
        <v>286</v>
      </c>
      <c r="E83" s="3">
        <f t="shared" si="26"/>
        <v>256</v>
      </c>
      <c r="F83" s="3">
        <f t="shared" si="26"/>
        <v>241</v>
      </c>
      <c r="G83" s="3">
        <f t="shared" si="26"/>
        <v>213</v>
      </c>
      <c r="H83" s="3">
        <f t="shared" si="26"/>
        <v>191</v>
      </c>
      <c r="I83" s="3">
        <f t="shared" si="26"/>
        <v>175</v>
      </c>
      <c r="J83" s="3">
        <f t="shared" si="26"/>
        <v>155</v>
      </c>
      <c r="K83" s="3">
        <f t="shared" si="26"/>
        <v>174</v>
      </c>
      <c r="L83" s="3">
        <f t="shared" si="26"/>
        <v>587</v>
      </c>
      <c r="M83" s="3">
        <f t="shared" si="26"/>
        <v>544</v>
      </c>
      <c r="N83" s="3">
        <f t="shared" si="26"/>
        <v>540</v>
      </c>
      <c r="O83" s="3">
        <f t="shared" si="26"/>
        <v>525</v>
      </c>
      <c r="P83" s="3">
        <f t="shared" si="26"/>
        <v>475</v>
      </c>
      <c r="Q83" s="3">
        <f t="shared" si="26"/>
        <v>409</v>
      </c>
      <c r="R83" s="3">
        <f t="shared" si="26"/>
        <v>420</v>
      </c>
      <c r="S83" s="3">
        <f t="shared" si="26"/>
        <v>368</v>
      </c>
      <c r="T83" s="3">
        <f t="shared" si="26"/>
        <v>320</v>
      </c>
      <c r="U83" s="3">
        <f t="shared" si="26"/>
        <v>237</v>
      </c>
      <c r="V83" s="3">
        <f t="shared" si="26"/>
        <v>198</v>
      </c>
      <c r="W83" s="3">
        <f t="shared" si="26"/>
        <v>306</v>
      </c>
      <c r="X83" s="3">
        <f t="shared" si="26"/>
        <v>276</v>
      </c>
      <c r="Y83" s="3">
        <f t="shared" si="26"/>
        <v>275</v>
      </c>
      <c r="Z83" s="3">
        <f t="shared" si="26"/>
        <v>261</v>
      </c>
      <c r="AA83" s="3">
        <f t="shared" si="26"/>
        <v>246</v>
      </c>
      <c r="AB83" s="3">
        <f t="shared" si="26"/>
        <v>699</v>
      </c>
      <c r="AC83" s="3">
        <f t="shared" si="26"/>
        <v>691</v>
      </c>
      <c r="AD83" s="3">
        <f t="shared" si="26"/>
        <v>677</v>
      </c>
      <c r="AE83" s="3">
        <f t="shared" si="26"/>
        <v>610</v>
      </c>
      <c r="AF83" s="3">
        <f t="shared" si="26"/>
        <v>564</v>
      </c>
      <c r="AG83" s="3">
        <f t="shared" si="26"/>
        <v>520</v>
      </c>
      <c r="AH83" s="3">
        <f t="shared" si="26"/>
        <v>913</v>
      </c>
      <c r="AI83" s="3">
        <f t="shared" si="26"/>
        <v>814</v>
      </c>
      <c r="AJ83" s="3">
        <f t="shared" si="26"/>
        <v>966</v>
      </c>
      <c r="AK83" s="3">
        <f t="shared" si="26"/>
        <v>873</v>
      </c>
      <c r="AL83" s="3">
        <f t="shared" si="26"/>
        <v>793</v>
      </c>
      <c r="AM83" s="3">
        <f t="shared" si="26"/>
        <v>697</v>
      </c>
      <c r="AN83" s="3">
        <f t="shared" si="26"/>
        <v>561.45122100000003</v>
      </c>
      <c r="AO83" s="3">
        <f t="shared" si="26"/>
        <v>484</v>
      </c>
      <c r="AP83" s="3">
        <f t="shared" si="26"/>
        <v>409</v>
      </c>
      <c r="AQ83" s="3">
        <f t="shared" si="26"/>
        <v>947</v>
      </c>
      <c r="AR83" s="3">
        <f t="shared" si="26"/>
        <v>847.50842496906262</v>
      </c>
      <c r="AS83" s="3">
        <f t="shared" si="26"/>
        <v>778.15730499999995</v>
      </c>
      <c r="AT83" s="3">
        <f t="shared" si="26"/>
        <v>675.6716231811979</v>
      </c>
      <c r="AU83" s="3">
        <f t="shared" si="26"/>
        <v>622.19156282549704</v>
      </c>
      <c r="AV83" s="3">
        <f t="shared" si="26"/>
        <v>820.47962764590841</v>
      </c>
      <c r="AW83" s="3">
        <f t="shared" si="26"/>
        <v>639.40617834302043</v>
      </c>
      <c r="AX83" s="3">
        <f t="shared" si="26"/>
        <v>597.51828999999998</v>
      </c>
      <c r="AY83" s="3">
        <f t="shared" si="26"/>
        <v>561.27436</v>
      </c>
      <c r="AZ83" s="3">
        <f t="shared" si="26"/>
        <v>371.04052614029644</v>
      </c>
      <c r="BA83" s="3">
        <f t="shared" si="26"/>
        <v>296.04625726441668</v>
      </c>
      <c r="BB83" s="3">
        <f t="shared" si="26"/>
        <v>275.65935766044913</v>
      </c>
      <c r="BC83" s="3">
        <f t="shared" si="26"/>
        <v>356.92235435262131</v>
      </c>
      <c r="BD83" s="3">
        <f t="shared" si="26"/>
        <v>213.82709330010465</v>
      </c>
      <c r="BE83" s="3">
        <f t="shared" si="26"/>
        <v>110.28753218065977</v>
      </c>
      <c r="BF83" s="3">
        <f t="shared" si="26"/>
        <v>73.136228059478952</v>
      </c>
      <c r="BG83" s="3">
        <f t="shared" si="26"/>
        <v>45.333804119999996</v>
      </c>
      <c r="BH83" s="3">
        <f t="shared" si="26"/>
        <v>34.735442999999997</v>
      </c>
      <c r="BI83" s="3">
        <f t="shared" si="26"/>
        <v>40.812854999999999</v>
      </c>
      <c r="BJ83" s="3">
        <f t="shared" si="25"/>
        <v>32.1</v>
      </c>
    </row>
    <row r="84" spans="1:62" ht="14.1" customHeight="1" outlineLevel="1" x14ac:dyDescent="0.2">
      <c r="A84" s="56"/>
      <c r="B84" s="11" t="s">
        <v>45</v>
      </c>
      <c r="C84" s="3">
        <f t="shared" ref="C84:BI84" si="27">+C19</f>
        <v>432</v>
      </c>
      <c r="D84" s="3">
        <f t="shared" si="27"/>
        <v>379</v>
      </c>
      <c r="E84" s="3">
        <f t="shared" si="27"/>
        <v>296</v>
      </c>
      <c r="F84" s="3">
        <f t="shared" si="27"/>
        <v>655</v>
      </c>
      <c r="G84" s="3">
        <f t="shared" si="27"/>
        <v>616</v>
      </c>
      <c r="H84" s="3">
        <f t="shared" si="27"/>
        <v>551</v>
      </c>
      <c r="I84" s="3">
        <f t="shared" si="27"/>
        <v>657</v>
      </c>
      <c r="J84" s="3">
        <f t="shared" si="27"/>
        <v>699</v>
      </c>
      <c r="K84" s="3">
        <f t="shared" si="27"/>
        <v>623</v>
      </c>
      <c r="L84" s="3">
        <f t="shared" si="27"/>
        <v>722</v>
      </c>
      <c r="M84" s="3">
        <f t="shared" si="27"/>
        <v>921</v>
      </c>
      <c r="N84" s="3">
        <f t="shared" si="27"/>
        <v>857</v>
      </c>
      <c r="O84" s="3">
        <f t="shared" si="27"/>
        <v>705</v>
      </c>
      <c r="P84" s="3">
        <f t="shared" si="27"/>
        <v>1079</v>
      </c>
      <c r="Q84" s="3">
        <f t="shared" si="27"/>
        <v>1072</v>
      </c>
      <c r="R84" s="3">
        <f t="shared" si="27"/>
        <v>869</v>
      </c>
      <c r="S84" s="3">
        <f t="shared" si="27"/>
        <v>1042</v>
      </c>
      <c r="T84" s="3">
        <f t="shared" si="27"/>
        <v>933</v>
      </c>
      <c r="U84" s="3">
        <f t="shared" si="27"/>
        <v>758</v>
      </c>
      <c r="V84" s="3">
        <f t="shared" si="27"/>
        <v>642</v>
      </c>
      <c r="W84" s="3">
        <f t="shared" si="27"/>
        <v>578</v>
      </c>
      <c r="X84" s="3">
        <f t="shared" si="27"/>
        <v>1610</v>
      </c>
      <c r="Y84" s="3">
        <f t="shared" si="27"/>
        <v>1415</v>
      </c>
      <c r="Z84" s="3">
        <f t="shared" si="27"/>
        <v>1453</v>
      </c>
      <c r="AA84" s="3">
        <f t="shared" si="27"/>
        <v>1264</v>
      </c>
      <c r="AB84" s="3">
        <f t="shared" si="27"/>
        <v>1169</v>
      </c>
      <c r="AC84" s="3">
        <f t="shared" si="27"/>
        <v>1107</v>
      </c>
      <c r="AD84" s="3">
        <f t="shared" si="27"/>
        <v>966</v>
      </c>
      <c r="AE84" s="3">
        <f t="shared" si="27"/>
        <v>841</v>
      </c>
      <c r="AF84" s="3">
        <f t="shared" si="27"/>
        <v>693</v>
      </c>
      <c r="AG84" s="3">
        <f t="shared" si="27"/>
        <v>989</v>
      </c>
      <c r="AH84" s="3">
        <f t="shared" si="27"/>
        <v>418</v>
      </c>
      <c r="AI84" s="3">
        <f t="shared" si="27"/>
        <v>292</v>
      </c>
      <c r="AJ84" s="3">
        <f t="shared" si="27"/>
        <v>190</v>
      </c>
      <c r="AK84" s="3">
        <f t="shared" si="27"/>
        <v>373</v>
      </c>
      <c r="AL84" s="3">
        <f t="shared" si="27"/>
        <v>279</v>
      </c>
      <c r="AM84" s="3">
        <f t="shared" si="27"/>
        <v>311</v>
      </c>
      <c r="AN84" s="3">
        <f t="shared" si="27"/>
        <v>593.88672799999995</v>
      </c>
      <c r="AO84" s="3">
        <f t="shared" si="27"/>
        <v>607</v>
      </c>
      <c r="AP84" s="3">
        <f t="shared" si="27"/>
        <v>537</v>
      </c>
      <c r="AQ84" s="3">
        <f t="shared" si="27"/>
        <v>666</v>
      </c>
      <c r="AR84" s="3">
        <f t="shared" si="27"/>
        <v>572.55498347349237</v>
      </c>
      <c r="AS84" s="3">
        <f t="shared" si="27"/>
        <v>542.490455</v>
      </c>
      <c r="AT84" s="3">
        <f t="shared" si="27"/>
        <v>496.72291507126914</v>
      </c>
      <c r="AU84" s="3">
        <f t="shared" si="27"/>
        <v>614.91473310345975</v>
      </c>
      <c r="AV84" s="3">
        <f t="shared" si="27"/>
        <v>587.4519738773264</v>
      </c>
      <c r="AW84" s="3">
        <f t="shared" si="27"/>
        <v>485.36957643639181</v>
      </c>
      <c r="AX84" s="3">
        <f t="shared" si="27"/>
        <v>552.64260717513469</v>
      </c>
      <c r="AY84" s="3">
        <f t="shared" si="27"/>
        <v>505.36905000000002</v>
      </c>
      <c r="AZ84" s="3">
        <f t="shared" si="27"/>
        <v>651.70246856229028</v>
      </c>
      <c r="BA84" s="3">
        <f t="shared" si="27"/>
        <v>750.18627897450574</v>
      </c>
      <c r="BB84" s="3">
        <f t="shared" si="27"/>
        <v>674.80535583793539</v>
      </c>
      <c r="BC84" s="3">
        <f t="shared" si="27"/>
        <v>603.03281360021731</v>
      </c>
      <c r="BD84" s="3">
        <f t="shared" si="27"/>
        <v>564.73110276028569</v>
      </c>
      <c r="BE84" s="3">
        <f t="shared" si="27"/>
        <v>813.23406725842483</v>
      </c>
      <c r="BF84" s="3">
        <f t="shared" si="27"/>
        <v>860.37586859970452</v>
      </c>
      <c r="BG84" s="3">
        <f t="shared" si="27"/>
        <v>917.76781719339169</v>
      </c>
      <c r="BH84" s="3">
        <f t="shared" si="27"/>
        <v>753.97043199999996</v>
      </c>
      <c r="BI84" s="3">
        <f t="shared" si="27"/>
        <v>785.91535199999998</v>
      </c>
      <c r="BJ84" s="3">
        <f t="shared" si="25"/>
        <v>775.7</v>
      </c>
    </row>
    <row r="85" spans="1:62" ht="14.1" customHeight="1" outlineLevel="1" x14ac:dyDescent="0.2">
      <c r="A85" s="56"/>
      <c r="B85" s="11" t="s">
        <v>46</v>
      </c>
      <c r="C85" s="3">
        <f t="shared" ref="C85:BI85" si="28">+C20</f>
        <v>0</v>
      </c>
      <c r="D85" s="3">
        <f t="shared" si="28"/>
        <v>0</v>
      </c>
      <c r="E85" s="3">
        <f t="shared" si="28"/>
        <v>0</v>
      </c>
      <c r="F85" s="3">
        <f t="shared" si="28"/>
        <v>0</v>
      </c>
      <c r="G85" s="3">
        <f t="shared" si="28"/>
        <v>0</v>
      </c>
      <c r="H85" s="3">
        <f t="shared" si="28"/>
        <v>0</v>
      </c>
      <c r="I85" s="3">
        <f t="shared" si="28"/>
        <v>0</v>
      </c>
      <c r="J85" s="3">
        <f t="shared" si="28"/>
        <v>235</v>
      </c>
      <c r="K85" s="3">
        <f t="shared" si="28"/>
        <v>235</v>
      </c>
      <c r="L85" s="3">
        <f t="shared" si="28"/>
        <v>230</v>
      </c>
      <c r="M85" s="3">
        <f t="shared" si="28"/>
        <v>229</v>
      </c>
      <c r="N85" s="3">
        <f t="shared" si="28"/>
        <v>240</v>
      </c>
      <c r="O85" s="3">
        <f t="shared" si="28"/>
        <v>237</v>
      </c>
      <c r="P85" s="3">
        <f t="shared" si="28"/>
        <v>215</v>
      </c>
      <c r="Q85" s="3">
        <f t="shared" si="28"/>
        <v>214</v>
      </c>
      <c r="R85" s="3">
        <f t="shared" si="28"/>
        <v>192</v>
      </c>
      <c r="S85" s="3">
        <f t="shared" si="28"/>
        <v>179</v>
      </c>
      <c r="T85" s="3">
        <f t="shared" si="28"/>
        <v>168</v>
      </c>
      <c r="U85" s="3">
        <f t="shared" si="28"/>
        <v>700</v>
      </c>
      <c r="V85" s="3">
        <f t="shared" si="28"/>
        <v>641</v>
      </c>
      <c r="W85" s="3">
        <f t="shared" si="28"/>
        <v>496</v>
      </c>
      <c r="X85" s="3">
        <f t="shared" si="28"/>
        <v>514</v>
      </c>
      <c r="Y85" s="3">
        <f t="shared" si="28"/>
        <v>405</v>
      </c>
      <c r="Z85" s="3">
        <f t="shared" si="28"/>
        <v>338</v>
      </c>
      <c r="AA85" s="3">
        <f t="shared" si="28"/>
        <v>237</v>
      </c>
      <c r="AB85" s="3">
        <f t="shared" si="28"/>
        <v>161</v>
      </c>
      <c r="AC85" s="3">
        <f t="shared" si="28"/>
        <v>106</v>
      </c>
      <c r="AD85" s="3">
        <f t="shared" si="28"/>
        <v>49</v>
      </c>
      <c r="AE85" s="3">
        <f t="shared" si="28"/>
        <v>43</v>
      </c>
      <c r="AF85" s="3">
        <f t="shared" si="28"/>
        <v>43</v>
      </c>
      <c r="AG85" s="3">
        <f t="shared" si="28"/>
        <v>44</v>
      </c>
      <c r="AH85" s="3">
        <f t="shared" si="28"/>
        <v>45</v>
      </c>
      <c r="AI85" s="3">
        <f t="shared" si="28"/>
        <v>145</v>
      </c>
      <c r="AJ85" s="3">
        <f t="shared" si="28"/>
        <v>105</v>
      </c>
      <c r="AK85" s="3">
        <f t="shared" si="28"/>
        <v>276</v>
      </c>
      <c r="AL85" s="3">
        <f t="shared" si="28"/>
        <v>304</v>
      </c>
      <c r="AM85" s="3">
        <f t="shared" si="28"/>
        <v>284</v>
      </c>
      <c r="AN85" s="3">
        <f t="shared" si="28"/>
        <v>301.37113099999999</v>
      </c>
      <c r="AO85" s="3">
        <f t="shared" si="28"/>
        <v>314</v>
      </c>
      <c r="AP85" s="3">
        <f t="shared" si="28"/>
        <v>293</v>
      </c>
      <c r="AQ85" s="3">
        <f t="shared" si="28"/>
        <v>269</v>
      </c>
      <c r="AR85" s="3">
        <f t="shared" si="28"/>
        <v>290.56916673822218</v>
      </c>
      <c r="AS85" s="3">
        <f t="shared" si="28"/>
        <v>259.834585</v>
      </c>
      <c r="AT85" s="3">
        <f t="shared" si="28"/>
        <v>224.81926763870752</v>
      </c>
      <c r="AU85" s="3">
        <f t="shared" si="28"/>
        <v>193.98075243735667</v>
      </c>
      <c r="AV85" s="3">
        <f t="shared" si="28"/>
        <v>134.1679828240531</v>
      </c>
      <c r="AW85" s="3">
        <f t="shared" si="28"/>
        <v>118.63252250014645</v>
      </c>
      <c r="AX85" s="3">
        <f t="shared" si="28"/>
        <v>110.734025</v>
      </c>
      <c r="AY85" s="3">
        <f t="shared" si="28"/>
        <v>89.112222000000003</v>
      </c>
      <c r="AZ85" s="3">
        <f t="shared" si="28"/>
        <v>41.602242424793154</v>
      </c>
      <c r="BA85" s="3">
        <f t="shared" si="28"/>
        <v>288.28967753849486</v>
      </c>
      <c r="BB85" s="3">
        <f t="shared" si="28"/>
        <v>278.38461692883322</v>
      </c>
      <c r="BC85" s="3">
        <f t="shared" si="28"/>
        <v>269.28537852257131</v>
      </c>
      <c r="BD85" s="3">
        <f t="shared" si="28"/>
        <v>243.77511532701402</v>
      </c>
      <c r="BE85" s="3">
        <f t="shared" si="28"/>
        <v>225.82733857211434</v>
      </c>
      <c r="BF85" s="3">
        <f t="shared" si="28"/>
        <v>198.13266535849141</v>
      </c>
      <c r="BG85" s="3">
        <f t="shared" si="28"/>
        <v>172.83071649999999</v>
      </c>
      <c r="BH85" s="3">
        <f t="shared" si="28"/>
        <v>163.26010099999999</v>
      </c>
      <c r="BI85" s="3">
        <f t="shared" si="28"/>
        <v>155.32173499999999</v>
      </c>
      <c r="BJ85" s="3">
        <f t="shared" si="25"/>
        <v>220.1</v>
      </c>
    </row>
    <row r="86" spans="1:62" ht="14.1" customHeight="1" outlineLevel="1" x14ac:dyDescent="0.2">
      <c r="A86" s="56"/>
      <c r="B86" s="11" t="s">
        <v>230</v>
      </c>
      <c r="C86" s="3" t="str">
        <f t="shared" ref="C86:BI86" si="29">+C21</f>
        <v>-</v>
      </c>
      <c r="D86" s="3" t="str">
        <f t="shared" si="29"/>
        <v>-</v>
      </c>
      <c r="E86" s="3" t="str">
        <f t="shared" si="29"/>
        <v>-</v>
      </c>
      <c r="F86" s="3" t="str">
        <f t="shared" si="29"/>
        <v>-</v>
      </c>
      <c r="G86" s="3" t="str">
        <f t="shared" si="29"/>
        <v>-</v>
      </c>
      <c r="H86" s="3" t="str">
        <f t="shared" si="29"/>
        <v>-</v>
      </c>
      <c r="I86" s="3" t="str">
        <f t="shared" si="29"/>
        <v>-</v>
      </c>
      <c r="J86" s="3" t="str">
        <f t="shared" si="29"/>
        <v>-</v>
      </c>
      <c r="K86" s="3" t="str">
        <f t="shared" si="29"/>
        <v>-</v>
      </c>
      <c r="L86" s="3" t="str">
        <f t="shared" si="29"/>
        <v>-</v>
      </c>
      <c r="M86" s="3" t="str">
        <f t="shared" si="29"/>
        <v>-</v>
      </c>
      <c r="N86" s="3" t="str">
        <f t="shared" si="29"/>
        <v>-</v>
      </c>
      <c r="O86" s="3" t="str">
        <f t="shared" si="29"/>
        <v>-</v>
      </c>
      <c r="P86" s="3" t="str">
        <f t="shared" si="29"/>
        <v>-</v>
      </c>
      <c r="Q86" s="3" t="str">
        <f t="shared" si="29"/>
        <v>-</v>
      </c>
      <c r="R86" s="3" t="str">
        <f t="shared" si="29"/>
        <v>-</v>
      </c>
      <c r="S86" s="3" t="str">
        <f t="shared" si="29"/>
        <v>-</v>
      </c>
      <c r="T86" s="3" t="str">
        <f t="shared" si="29"/>
        <v>-</v>
      </c>
      <c r="U86" s="3" t="str">
        <f t="shared" si="29"/>
        <v>-</v>
      </c>
      <c r="V86" s="3" t="str">
        <f t="shared" si="29"/>
        <v>-</v>
      </c>
      <c r="W86" s="3" t="str">
        <f t="shared" si="29"/>
        <v>-</v>
      </c>
      <c r="X86" s="3" t="str">
        <f t="shared" si="29"/>
        <v>-</v>
      </c>
      <c r="Y86" s="3" t="str">
        <f t="shared" si="29"/>
        <v>-</v>
      </c>
      <c r="Z86" s="3" t="str">
        <f t="shared" si="29"/>
        <v>-</v>
      </c>
      <c r="AA86" s="3" t="str">
        <f t="shared" si="29"/>
        <v>-</v>
      </c>
      <c r="AB86" s="3" t="str">
        <f t="shared" si="29"/>
        <v>-</v>
      </c>
      <c r="AC86" s="3" t="str">
        <f t="shared" si="29"/>
        <v>-</v>
      </c>
      <c r="AD86" s="3" t="str">
        <f t="shared" si="29"/>
        <v>-</v>
      </c>
      <c r="AE86" s="3" t="str">
        <f t="shared" si="29"/>
        <v>-</v>
      </c>
      <c r="AF86" s="3" t="str">
        <f t="shared" si="29"/>
        <v>-</v>
      </c>
      <c r="AG86" s="3" t="str">
        <f t="shared" si="29"/>
        <v>-</v>
      </c>
      <c r="AH86" s="3" t="str">
        <f t="shared" si="29"/>
        <v>-</v>
      </c>
      <c r="AI86" s="3" t="str">
        <f t="shared" si="29"/>
        <v>-</v>
      </c>
      <c r="AJ86" s="3" t="str">
        <f t="shared" si="29"/>
        <v>-</v>
      </c>
      <c r="AK86" s="3" t="str">
        <f t="shared" si="29"/>
        <v>-</v>
      </c>
      <c r="AL86" s="3" t="str">
        <f t="shared" si="29"/>
        <v>-</v>
      </c>
      <c r="AM86" s="3" t="str">
        <f t="shared" si="29"/>
        <v>-</v>
      </c>
      <c r="AN86" s="3" t="str">
        <f t="shared" si="29"/>
        <v>-</v>
      </c>
      <c r="AO86" s="3" t="str">
        <f t="shared" si="29"/>
        <v>-</v>
      </c>
      <c r="AP86" s="3" t="str">
        <f t="shared" si="29"/>
        <v>-</v>
      </c>
      <c r="AQ86" s="3" t="str">
        <f t="shared" si="29"/>
        <v>-</v>
      </c>
      <c r="AR86" s="3" t="str">
        <f t="shared" si="29"/>
        <v>-</v>
      </c>
      <c r="AS86" s="3" t="str">
        <f t="shared" si="29"/>
        <v>-</v>
      </c>
      <c r="AT86" s="3" t="str">
        <f t="shared" si="29"/>
        <v>-</v>
      </c>
      <c r="AU86" s="3" t="str">
        <f t="shared" si="29"/>
        <v>-</v>
      </c>
      <c r="AV86" s="3" t="str">
        <f t="shared" si="29"/>
        <v>-</v>
      </c>
      <c r="AW86" s="3" t="str">
        <f t="shared" si="29"/>
        <v>-</v>
      </c>
      <c r="AX86" s="3" t="str">
        <f t="shared" si="29"/>
        <v>-</v>
      </c>
      <c r="AY86" s="3" t="str">
        <f t="shared" si="29"/>
        <v>-</v>
      </c>
      <c r="AZ86" s="3" t="str">
        <f t="shared" si="29"/>
        <v>-</v>
      </c>
      <c r="BA86" s="3" t="str">
        <f t="shared" si="29"/>
        <v>-</v>
      </c>
      <c r="BB86" s="3" t="str">
        <f t="shared" si="29"/>
        <v>-</v>
      </c>
      <c r="BC86" s="3" t="str">
        <f t="shared" si="29"/>
        <v>-</v>
      </c>
      <c r="BD86" s="3" t="str">
        <f t="shared" si="29"/>
        <v>-</v>
      </c>
      <c r="BE86" s="3">
        <f t="shared" si="29"/>
        <v>16.828175512437767</v>
      </c>
      <c r="BF86" s="3">
        <f t="shared" si="29"/>
        <v>9.9213857586634688</v>
      </c>
      <c r="BG86" s="3">
        <f t="shared" si="29"/>
        <v>7.4442620000000002</v>
      </c>
      <c r="BH86" s="3">
        <f t="shared" si="29"/>
        <v>2.8237920000000001</v>
      </c>
      <c r="BI86" s="3">
        <f t="shared" si="29"/>
        <v>1.319623</v>
      </c>
      <c r="BJ86" s="3">
        <f t="shared" si="25"/>
        <v>0.6</v>
      </c>
    </row>
    <row r="87" spans="1:62" ht="14.1" customHeight="1" outlineLevel="1" x14ac:dyDescent="0.2">
      <c r="A87" s="56"/>
      <c r="B87" s="11" t="s">
        <v>231</v>
      </c>
      <c r="C87" s="3" t="str">
        <f t="shared" ref="C87:BI87" si="30">+C22</f>
        <v>-</v>
      </c>
      <c r="D87" s="3" t="str">
        <f t="shared" si="30"/>
        <v>-</v>
      </c>
      <c r="E87" s="3" t="str">
        <f t="shared" si="30"/>
        <v>-</v>
      </c>
      <c r="F87" s="3" t="str">
        <f t="shared" si="30"/>
        <v>-</v>
      </c>
      <c r="G87" s="3" t="str">
        <f t="shared" si="30"/>
        <v>-</v>
      </c>
      <c r="H87" s="3" t="str">
        <f t="shared" si="30"/>
        <v>-</v>
      </c>
      <c r="I87" s="3" t="str">
        <f t="shared" si="30"/>
        <v>-</v>
      </c>
      <c r="J87" s="3" t="str">
        <f t="shared" si="30"/>
        <v>-</v>
      </c>
      <c r="K87" s="3" t="str">
        <f t="shared" si="30"/>
        <v>-</v>
      </c>
      <c r="L87" s="3" t="str">
        <f t="shared" si="30"/>
        <v>-</v>
      </c>
      <c r="M87" s="3" t="str">
        <f t="shared" si="30"/>
        <v>-</v>
      </c>
      <c r="N87" s="3" t="str">
        <f t="shared" si="30"/>
        <v>-</v>
      </c>
      <c r="O87" s="3" t="str">
        <f t="shared" si="30"/>
        <v>-</v>
      </c>
      <c r="P87" s="3" t="str">
        <f t="shared" si="30"/>
        <v>-</v>
      </c>
      <c r="Q87" s="3" t="str">
        <f t="shared" si="30"/>
        <v>-</v>
      </c>
      <c r="R87" s="3" t="str">
        <f t="shared" si="30"/>
        <v>-</v>
      </c>
      <c r="S87" s="3" t="str">
        <f t="shared" si="30"/>
        <v>-</v>
      </c>
      <c r="T87" s="3" t="str">
        <f t="shared" si="30"/>
        <v>-</v>
      </c>
      <c r="U87" s="3" t="str">
        <f t="shared" si="30"/>
        <v>-</v>
      </c>
      <c r="V87" s="3" t="str">
        <f t="shared" si="30"/>
        <v>-</v>
      </c>
      <c r="W87" s="3" t="str">
        <f t="shared" si="30"/>
        <v>-</v>
      </c>
      <c r="X87" s="3" t="str">
        <f t="shared" si="30"/>
        <v>-</v>
      </c>
      <c r="Y87" s="3" t="str">
        <f t="shared" si="30"/>
        <v>-</v>
      </c>
      <c r="Z87" s="3" t="str">
        <f t="shared" si="30"/>
        <v>-</v>
      </c>
      <c r="AA87" s="3" t="str">
        <f t="shared" si="30"/>
        <v>-</v>
      </c>
      <c r="AB87" s="3" t="str">
        <f t="shared" si="30"/>
        <v>-</v>
      </c>
      <c r="AC87" s="3" t="str">
        <f t="shared" si="30"/>
        <v>-</v>
      </c>
      <c r="AD87" s="3" t="str">
        <f t="shared" si="30"/>
        <v>-</v>
      </c>
      <c r="AE87" s="3" t="str">
        <f t="shared" si="30"/>
        <v>-</v>
      </c>
      <c r="AF87" s="3" t="str">
        <f t="shared" si="30"/>
        <v>-</v>
      </c>
      <c r="AG87" s="3" t="str">
        <f t="shared" si="30"/>
        <v>-</v>
      </c>
      <c r="AH87" s="3" t="str">
        <f t="shared" si="30"/>
        <v>-</v>
      </c>
      <c r="AI87" s="3" t="str">
        <f t="shared" si="30"/>
        <v>-</v>
      </c>
      <c r="AJ87" s="3" t="str">
        <f t="shared" si="30"/>
        <v>-</v>
      </c>
      <c r="AK87" s="3" t="str">
        <f t="shared" si="30"/>
        <v>-</v>
      </c>
      <c r="AL87" s="3" t="str">
        <f t="shared" si="30"/>
        <v>-</v>
      </c>
      <c r="AM87" s="3" t="str">
        <f t="shared" si="30"/>
        <v>-</v>
      </c>
      <c r="AN87" s="3" t="str">
        <f t="shared" si="30"/>
        <v>-</v>
      </c>
      <c r="AO87" s="3" t="str">
        <f t="shared" si="30"/>
        <v>-</v>
      </c>
      <c r="AP87" s="3" t="str">
        <f t="shared" si="30"/>
        <v>-</v>
      </c>
      <c r="AQ87" s="3" t="str">
        <f t="shared" si="30"/>
        <v>-</v>
      </c>
      <c r="AR87" s="3" t="str">
        <f t="shared" si="30"/>
        <v>-</v>
      </c>
      <c r="AS87" s="3" t="str">
        <f t="shared" si="30"/>
        <v>-</v>
      </c>
      <c r="AT87" s="3" t="str">
        <f t="shared" si="30"/>
        <v>-</v>
      </c>
      <c r="AU87" s="3" t="str">
        <f t="shared" si="30"/>
        <v>-</v>
      </c>
      <c r="AV87" s="3" t="str">
        <f t="shared" si="30"/>
        <v>-</v>
      </c>
      <c r="AW87" s="3" t="str">
        <f t="shared" si="30"/>
        <v>-</v>
      </c>
      <c r="AX87" s="3" t="str">
        <f t="shared" si="30"/>
        <v>-</v>
      </c>
      <c r="AY87" s="3" t="str">
        <f t="shared" si="30"/>
        <v>-</v>
      </c>
      <c r="AZ87" s="3" t="str">
        <f t="shared" si="30"/>
        <v>-</v>
      </c>
      <c r="BA87" s="3" t="str">
        <f t="shared" si="30"/>
        <v>-</v>
      </c>
      <c r="BB87" s="3" t="str">
        <f t="shared" si="30"/>
        <v>-</v>
      </c>
      <c r="BC87" s="3" t="str">
        <f t="shared" si="30"/>
        <v>-</v>
      </c>
      <c r="BD87" s="3" t="str">
        <f t="shared" si="30"/>
        <v>-</v>
      </c>
      <c r="BE87" s="3">
        <f t="shared" si="30"/>
        <v>66.932307833112773</v>
      </c>
      <c r="BF87" s="3">
        <f t="shared" si="30"/>
        <v>61.827114776818178</v>
      </c>
      <c r="BG87" s="3">
        <f t="shared" si="30"/>
        <v>60.111778000000001</v>
      </c>
      <c r="BH87" s="3">
        <f t="shared" si="30"/>
        <v>0.95017300000000005</v>
      </c>
      <c r="BI87" s="3">
        <f t="shared" si="30"/>
        <v>3.3986239999999999</v>
      </c>
      <c r="BJ87" s="3">
        <f t="shared" si="25"/>
        <v>0.4</v>
      </c>
    </row>
    <row r="88" spans="1:62" ht="14.1" customHeight="1" outlineLevel="1" x14ac:dyDescent="0.2">
      <c r="A88" s="56"/>
      <c r="B88" s="11" t="s">
        <v>232</v>
      </c>
      <c r="C88" s="3" t="str">
        <f t="shared" ref="C88:BI88" si="31">+C23</f>
        <v>-</v>
      </c>
      <c r="D88" s="3" t="str">
        <f t="shared" si="31"/>
        <v>-</v>
      </c>
      <c r="E88" s="3" t="str">
        <f t="shared" si="31"/>
        <v>-</v>
      </c>
      <c r="F88" s="3" t="str">
        <f t="shared" si="31"/>
        <v>-</v>
      </c>
      <c r="G88" s="3" t="str">
        <f t="shared" si="31"/>
        <v>-</v>
      </c>
      <c r="H88" s="3" t="str">
        <f t="shared" si="31"/>
        <v>-</v>
      </c>
      <c r="I88" s="3" t="str">
        <f t="shared" si="31"/>
        <v>-</v>
      </c>
      <c r="J88" s="3" t="str">
        <f t="shared" si="31"/>
        <v>-</v>
      </c>
      <c r="K88" s="3" t="str">
        <f t="shared" si="31"/>
        <v>-</v>
      </c>
      <c r="L88" s="3" t="str">
        <f t="shared" si="31"/>
        <v>-</v>
      </c>
      <c r="M88" s="3" t="str">
        <f t="shared" si="31"/>
        <v>-</v>
      </c>
      <c r="N88" s="3" t="str">
        <f t="shared" si="31"/>
        <v>-</v>
      </c>
      <c r="O88" s="3" t="str">
        <f t="shared" si="31"/>
        <v>-</v>
      </c>
      <c r="P88" s="3" t="str">
        <f t="shared" si="31"/>
        <v>-</v>
      </c>
      <c r="Q88" s="3" t="str">
        <f t="shared" si="31"/>
        <v>-</v>
      </c>
      <c r="R88" s="3" t="str">
        <f t="shared" si="31"/>
        <v>-</v>
      </c>
      <c r="S88" s="3" t="str">
        <f t="shared" si="31"/>
        <v>-</v>
      </c>
      <c r="T88" s="3" t="str">
        <f t="shared" si="31"/>
        <v>-</v>
      </c>
      <c r="U88" s="3" t="str">
        <f t="shared" si="31"/>
        <v>-</v>
      </c>
      <c r="V88" s="3" t="str">
        <f t="shared" si="31"/>
        <v>-</v>
      </c>
      <c r="W88" s="3" t="str">
        <f t="shared" si="31"/>
        <v>-</v>
      </c>
      <c r="X88" s="3" t="str">
        <f t="shared" si="31"/>
        <v>-</v>
      </c>
      <c r="Y88" s="3" t="str">
        <f t="shared" si="31"/>
        <v>-</v>
      </c>
      <c r="Z88" s="3" t="str">
        <f t="shared" si="31"/>
        <v>-</v>
      </c>
      <c r="AA88" s="3" t="str">
        <f t="shared" si="31"/>
        <v>-</v>
      </c>
      <c r="AB88" s="3" t="str">
        <f t="shared" si="31"/>
        <v>-</v>
      </c>
      <c r="AC88" s="3" t="str">
        <f t="shared" si="31"/>
        <v>-</v>
      </c>
      <c r="AD88" s="3" t="str">
        <f t="shared" si="31"/>
        <v>-</v>
      </c>
      <c r="AE88" s="3" t="str">
        <f t="shared" si="31"/>
        <v>-</v>
      </c>
      <c r="AF88" s="3" t="str">
        <f t="shared" si="31"/>
        <v>-</v>
      </c>
      <c r="AG88" s="3" t="str">
        <f t="shared" si="31"/>
        <v>-</v>
      </c>
      <c r="AH88" s="3" t="str">
        <f t="shared" si="31"/>
        <v>-</v>
      </c>
      <c r="AI88" s="3" t="str">
        <f t="shared" si="31"/>
        <v>-</v>
      </c>
      <c r="AJ88" s="3" t="str">
        <f t="shared" si="31"/>
        <v>-</v>
      </c>
      <c r="AK88" s="3" t="str">
        <f t="shared" si="31"/>
        <v>-</v>
      </c>
      <c r="AL88" s="3" t="str">
        <f t="shared" si="31"/>
        <v>-</v>
      </c>
      <c r="AM88" s="3" t="str">
        <f t="shared" si="31"/>
        <v>-</v>
      </c>
      <c r="AN88" s="3" t="str">
        <f t="shared" si="31"/>
        <v>-</v>
      </c>
      <c r="AO88" s="3" t="str">
        <f t="shared" si="31"/>
        <v>-</v>
      </c>
      <c r="AP88" s="3" t="str">
        <f t="shared" si="31"/>
        <v>-</v>
      </c>
      <c r="AQ88" s="3" t="str">
        <f t="shared" si="31"/>
        <v>-</v>
      </c>
      <c r="AR88" s="3" t="str">
        <f t="shared" si="31"/>
        <v>-</v>
      </c>
      <c r="AS88" s="3" t="str">
        <f t="shared" si="31"/>
        <v>-</v>
      </c>
      <c r="AT88" s="3" t="str">
        <f t="shared" si="31"/>
        <v>-</v>
      </c>
      <c r="AU88" s="3" t="str">
        <f t="shared" si="31"/>
        <v>-</v>
      </c>
      <c r="AV88" s="3" t="str">
        <f t="shared" si="31"/>
        <v>-</v>
      </c>
      <c r="AW88" s="3" t="str">
        <f t="shared" si="31"/>
        <v>-</v>
      </c>
      <c r="AX88" s="3" t="str">
        <f t="shared" si="31"/>
        <v>-</v>
      </c>
      <c r="AY88" s="3" t="str">
        <f t="shared" si="31"/>
        <v>-</v>
      </c>
      <c r="AZ88" s="3" t="str">
        <f t="shared" si="31"/>
        <v>-</v>
      </c>
      <c r="BA88" s="3" t="str">
        <f t="shared" si="31"/>
        <v>-</v>
      </c>
      <c r="BB88" s="3" t="str">
        <f t="shared" si="31"/>
        <v>-</v>
      </c>
      <c r="BC88" s="3" t="str">
        <f t="shared" si="31"/>
        <v>-</v>
      </c>
      <c r="BD88" s="3" t="str">
        <f t="shared" si="31"/>
        <v>-</v>
      </c>
      <c r="BE88" s="3">
        <f t="shared" si="31"/>
        <v>0</v>
      </c>
      <c r="BF88" s="3">
        <f t="shared" si="31"/>
        <v>44.058237112476661</v>
      </c>
      <c r="BG88" s="3">
        <f t="shared" si="31"/>
        <v>44.695517835085795</v>
      </c>
      <c r="BH88" s="3">
        <f t="shared" si="31"/>
        <v>83.112616000000003</v>
      </c>
      <c r="BI88" s="3">
        <f t="shared" si="31"/>
        <v>86.198666000000003</v>
      </c>
      <c r="BJ88" s="3">
        <f t="shared" si="25"/>
        <v>93.3</v>
      </c>
    </row>
    <row r="89" spans="1:62" ht="14.1" customHeight="1" outlineLevel="1" x14ac:dyDescent="0.2">
      <c r="A89" s="56"/>
      <c r="B89" s="11" t="s">
        <v>64</v>
      </c>
      <c r="C89" s="3">
        <f t="shared" ref="C89:BI89" si="32">+C24</f>
        <v>0</v>
      </c>
      <c r="D89" s="3">
        <f t="shared" si="32"/>
        <v>0</v>
      </c>
      <c r="E89" s="3">
        <f t="shared" si="32"/>
        <v>7</v>
      </c>
      <c r="F89" s="3">
        <f t="shared" si="32"/>
        <v>7</v>
      </c>
      <c r="G89" s="3">
        <f t="shared" si="32"/>
        <v>6</v>
      </c>
      <c r="H89" s="3">
        <f t="shared" si="32"/>
        <v>3</v>
      </c>
      <c r="I89" s="3">
        <f t="shared" si="32"/>
        <v>4</v>
      </c>
      <c r="J89" s="3">
        <f t="shared" si="32"/>
        <v>7</v>
      </c>
      <c r="K89" s="3">
        <f t="shared" si="32"/>
        <v>7</v>
      </c>
      <c r="L89" s="3">
        <f t="shared" si="32"/>
        <v>9</v>
      </c>
      <c r="M89" s="3">
        <f t="shared" si="32"/>
        <v>17</v>
      </c>
      <c r="N89" s="3">
        <f t="shared" si="32"/>
        <v>19</v>
      </c>
      <c r="O89" s="3">
        <f t="shared" si="32"/>
        <v>29</v>
      </c>
      <c r="P89" s="3">
        <f t="shared" si="32"/>
        <v>21</v>
      </c>
      <c r="Q89" s="3">
        <f t="shared" si="32"/>
        <v>4</v>
      </c>
      <c r="R89" s="3">
        <f t="shared" si="32"/>
        <v>2</v>
      </c>
      <c r="S89" s="3">
        <f t="shared" si="32"/>
        <v>17</v>
      </c>
      <c r="T89" s="3">
        <f t="shared" si="32"/>
        <v>12</v>
      </c>
      <c r="U89" s="3">
        <f t="shared" si="32"/>
        <v>7</v>
      </c>
      <c r="V89" s="3">
        <f t="shared" si="32"/>
        <v>0</v>
      </c>
      <c r="W89" s="3">
        <f t="shared" si="32"/>
        <v>13</v>
      </c>
      <c r="X89" s="3">
        <f t="shared" si="32"/>
        <v>40</v>
      </c>
      <c r="Y89" s="3">
        <f t="shared" si="32"/>
        <v>40</v>
      </c>
      <c r="Z89" s="3">
        <f t="shared" si="32"/>
        <v>29</v>
      </c>
      <c r="AA89" s="3">
        <f t="shared" si="32"/>
        <v>41</v>
      </c>
      <c r="AB89" s="3">
        <f t="shared" si="32"/>
        <v>25</v>
      </c>
      <c r="AC89" s="3">
        <f t="shared" si="32"/>
        <v>26</v>
      </c>
      <c r="AD89" s="3">
        <f t="shared" si="32"/>
        <v>21</v>
      </c>
      <c r="AE89" s="3">
        <f t="shared" si="32"/>
        <v>14</v>
      </c>
      <c r="AF89" s="3">
        <f t="shared" si="32"/>
        <v>8</v>
      </c>
      <c r="AG89" s="3">
        <f t="shared" si="32"/>
        <v>1</v>
      </c>
      <c r="AH89" s="3">
        <f t="shared" si="32"/>
        <v>0</v>
      </c>
      <c r="AI89" s="3">
        <f t="shared" si="32"/>
        <v>0</v>
      </c>
      <c r="AJ89" s="3">
        <f t="shared" si="32"/>
        <v>0</v>
      </c>
      <c r="AK89" s="3">
        <f t="shared" si="32"/>
        <v>0</v>
      </c>
      <c r="AL89" s="3">
        <f t="shared" si="32"/>
        <v>0</v>
      </c>
      <c r="AM89" s="3">
        <f t="shared" si="32"/>
        <v>0</v>
      </c>
      <c r="AN89" s="3">
        <f t="shared" si="32"/>
        <v>0</v>
      </c>
      <c r="AO89" s="3">
        <f t="shared" si="32"/>
        <v>0</v>
      </c>
      <c r="AP89" s="3">
        <f t="shared" si="32"/>
        <v>0</v>
      </c>
      <c r="AQ89" s="3">
        <f t="shared" si="32"/>
        <v>0</v>
      </c>
      <c r="AR89" s="3">
        <f t="shared" si="32"/>
        <v>0</v>
      </c>
      <c r="AS89" s="3">
        <f t="shared" si="32"/>
        <v>0</v>
      </c>
      <c r="AT89" s="3">
        <f t="shared" si="32"/>
        <v>0</v>
      </c>
      <c r="AU89" s="3">
        <f t="shared" si="32"/>
        <v>0</v>
      </c>
      <c r="AV89" s="3">
        <f t="shared" si="32"/>
        <v>0</v>
      </c>
      <c r="AW89" s="3">
        <f t="shared" si="32"/>
        <v>0</v>
      </c>
      <c r="AX89" s="3">
        <f t="shared" si="32"/>
        <v>0</v>
      </c>
      <c r="AY89" s="3">
        <f t="shared" si="32"/>
        <v>0</v>
      </c>
      <c r="AZ89" s="3">
        <f t="shared" si="32"/>
        <v>0</v>
      </c>
      <c r="BA89" s="3">
        <f t="shared" si="32"/>
        <v>0</v>
      </c>
      <c r="BB89" s="3">
        <f t="shared" si="32"/>
        <v>0</v>
      </c>
      <c r="BC89" s="3">
        <f t="shared" si="32"/>
        <v>0</v>
      </c>
      <c r="BD89" s="3">
        <f t="shared" si="32"/>
        <v>0</v>
      </c>
      <c r="BE89" s="3">
        <f t="shared" si="32"/>
        <v>0</v>
      </c>
      <c r="BF89" s="3">
        <f t="shared" si="32"/>
        <v>0</v>
      </c>
      <c r="BG89" s="3">
        <f t="shared" si="32"/>
        <v>0</v>
      </c>
      <c r="BH89" s="3">
        <f t="shared" si="32"/>
        <v>0</v>
      </c>
      <c r="BI89" s="3">
        <f t="shared" si="32"/>
        <v>0</v>
      </c>
      <c r="BJ89" s="3">
        <f t="shared" si="25"/>
        <v>0</v>
      </c>
    </row>
    <row r="90" spans="1:62" ht="14.1" customHeight="1" outlineLevel="1" x14ac:dyDescent="0.2">
      <c r="A90" s="56"/>
      <c r="B90" s="11" t="s">
        <v>133</v>
      </c>
      <c r="C90" s="3">
        <f t="shared" ref="C90:BI90" si="33">+C25</f>
        <v>0</v>
      </c>
      <c r="D90" s="3">
        <f t="shared" si="33"/>
        <v>0</v>
      </c>
      <c r="E90" s="3">
        <f t="shared" si="33"/>
        <v>0</v>
      </c>
      <c r="F90" s="3">
        <f t="shared" si="33"/>
        <v>0</v>
      </c>
      <c r="G90" s="3">
        <f t="shared" si="33"/>
        <v>0</v>
      </c>
      <c r="H90" s="3">
        <f t="shared" si="33"/>
        <v>0</v>
      </c>
      <c r="I90" s="3">
        <f t="shared" si="33"/>
        <v>0</v>
      </c>
      <c r="J90" s="3">
        <f t="shared" si="33"/>
        <v>0</v>
      </c>
      <c r="K90" s="3">
        <f t="shared" si="33"/>
        <v>0</v>
      </c>
      <c r="L90" s="3">
        <f t="shared" si="33"/>
        <v>0</v>
      </c>
      <c r="M90" s="3">
        <f t="shared" si="33"/>
        <v>0</v>
      </c>
      <c r="N90" s="3">
        <f t="shared" si="33"/>
        <v>0</v>
      </c>
      <c r="O90" s="3">
        <f t="shared" si="33"/>
        <v>0</v>
      </c>
      <c r="P90" s="3">
        <f t="shared" si="33"/>
        <v>0</v>
      </c>
      <c r="Q90" s="3">
        <f t="shared" si="33"/>
        <v>26</v>
      </c>
      <c r="R90" s="3">
        <f t="shared" si="33"/>
        <v>24</v>
      </c>
      <c r="S90" s="3">
        <f t="shared" si="33"/>
        <v>14</v>
      </c>
      <c r="T90" s="3">
        <f t="shared" si="33"/>
        <v>11</v>
      </c>
      <c r="U90" s="3">
        <f t="shared" si="33"/>
        <v>0</v>
      </c>
      <c r="V90" s="3">
        <f t="shared" si="33"/>
        <v>0</v>
      </c>
      <c r="W90" s="3">
        <f t="shared" si="33"/>
        <v>0</v>
      </c>
      <c r="X90" s="3">
        <f t="shared" si="33"/>
        <v>0</v>
      </c>
      <c r="Y90" s="3">
        <f t="shared" si="33"/>
        <v>0</v>
      </c>
      <c r="Z90" s="3">
        <f t="shared" si="33"/>
        <v>0</v>
      </c>
      <c r="AA90" s="3">
        <f t="shared" si="33"/>
        <v>0</v>
      </c>
      <c r="AB90" s="3">
        <f t="shared" si="33"/>
        <v>0</v>
      </c>
      <c r="AC90" s="3">
        <f t="shared" si="33"/>
        <v>0</v>
      </c>
      <c r="AD90" s="3">
        <f t="shared" si="33"/>
        <v>0</v>
      </c>
      <c r="AE90" s="3">
        <f t="shared" si="33"/>
        <v>0</v>
      </c>
      <c r="AF90" s="3">
        <f t="shared" si="33"/>
        <v>0</v>
      </c>
      <c r="AG90" s="3">
        <f t="shared" si="33"/>
        <v>0</v>
      </c>
      <c r="AH90" s="3">
        <f t="shared" si="33"/>
        <v>0</v>
      </c>
      <c r="AI90" s="3">
        <f t="shared" si="33"/>
        <v>0</v>
      </c>
      <c r="AJ90" s="3">
        <f t="shared" si="33"/>
        <v>0</v>
      </c>
      <c r="AK90" s="3">
        <f t="shared" si="33"/>
        <v>0</v>
      </c>
      <c r="AL90" s="3">
        <f t="shared" si="33"/>
        <v>0</v>
      </c>
      <c r="AM90" s="3">
        <f t="shared" si="33"/>
        <v>0</v>
      </c>
      <c r="AN90" s="3">
        <f t="shared" si="33"/>
        <v>0</v>
      </c>
      <c r="AO90" s="3">
        <f t="shared" si="33"/>
        <v>0</v>
      </c>
      <c r="AP90" s="3">
        <f t="shared" si="33"/>
        <v>0</v>
      </c>
      <c r="AQ90" s="3">
        <f t="shared" si="33"/>
        <v>0</v>
      </c>
      <c r="AR90" s="3">
        <f t="shared" si="33"/>
        <v>0</v>
      </c>
      <c r="AS90" s="3">
        <f t="shared" si="33"/>
        <v>0</v>
      </c>
      <c r="AT90" s="3">
        <f t="shared" si="33"/>
        <v>0</v>
      </c>
      <c r="AU90" s="3">
        <f t="shared" si="33"/>
        <v>0</v>
      </c>
      <c r="AV90" s="3">
        <f t="shared" si="33"/>
        <v>0</v>
      </c>
      <c r="AW90" s="3">
        <f t="shared" si="33"/>
        <v>0</v>
      </c>
      <c r="AX90" s="3">
        <f t="shared" si="33"/>
        <v>0</v>
      </c>
      <c r="AY90" s="3">
        <f t="shared" si="33"/>
        <v>0</v>
      </c>
      <c r="AZ90" s="3">
        <f t="shared" si="33"/>
        <v>0</v>
      </c>
      <c r="BA90" s="3">
        <f t="shared" si="33"/>
        <v>0</v>
      </c>
      <c r="BB90" s="3">
        <f t="shared" si="33"/>
        <v>0</v>
      </c>
      <c r="BC90" s="3">
        <f t="shared" si="33"/>
        <v>0</v>
      </c>
      <c r="BD90" s="3">
        <f t="shared" si="33"/>
        <v>0</v>
      </c>
      <c r="BE90" s="3">
        <f t="shared" si="33"/>
        <v>0</v>
      </c>
      <c r="BF90" s="3">
        <f t="shared" si="33"/>
        <v>0</v>
      </c>
      <c r="BG90" s="3">
        <f t="shared" si="33"/>
        <v>0</v>
      </c>
      <c r="BH90" s="3">
        <f t="shared" si="33"/>
        <v>0</v>
      </c>
      <c r="BI90" s="3">
        <f t="shared" si="33"/>
        <v>0</v>
      </c>
      <c r="BJ90" s="3">
        <f t="shared" si="25"/>
        <v>0</v>
      </c>
    </row>
    <row r="91" spans="1:62" ht="14.1" customHeight="1" outlineLevel="1" x14ac:dyDescent="0.2">
      <c r="A91" s="56"/>
      <c r="B91" s="11" t="s">
        <v>135</v>
      </c>
      <c r="C91" s="3">
        <f t="shared" ref="C91:BI91" si="34">+C26</f>
        <v>66</v>
      </c>
      <c r="D91" s="3">
        <f t="shared" si="34"/>
        <v>55</v>
      </c>
      <c r="E91" s="3">
        <f t="shared" si="34"/>
        <v>48</v>
      </c>
      <c r="F91" s="3">
        <f t="shared" si="34"/>
        <v>40</v>
      </c>
      <c r="G91" s="3">
        <f t="shared" si="34"/>
        <v>38</v>
      </c>
      <c r="H91" s="3">
        <f t="shared" si="34"/>
        <v>21</v>
      </c>
      <c r="I91" s="3">
        <f t="shared" si="34"/>
        <v>17</v>
      </c>
      <c r="J91" s="3">
        <f t="shared" si="34"/>
        <v>25</v>
      </c>
      <c r="K91" s="3">
        <f t="shared" si="34"/>
        <v>21</v>
      </c>
      <c r="L91" s="3">
        <f t="shared" si="34"/>
        <v>17</v>
      </c>
      <c r="M91" s="3">
        <f t="shared" si="34"/>
        <v>14</v>
      </c>
      <c r="N91" s="3">
        <f t="shared" si="34"/>
        <v>12</v>
      </c>
      <c r="O91" s="3">
        <f t="shared" si="34"/>
        <v>7</v>
      </c>
      <c r="P91" s="3">
        <f t="shared" si="34"/>
        <v>7</v>
      </c>
      <c r="Q91" s="3">
        <f t="shared" si="34"/>
        <v>0</v>
      </c>
      <c r="R91" s="3">
        <f t="shared" si="34"/>
        <v>0</v>
      </c>
      <c r="S91" s="3">
        <f t="shared" si="34"/>
        <v>0</v>
      </c>
      <c r="T91" s="3">
        <f t="shared" si="34"/>
        <v>0</v>
      </c>
      <c r="U91" s="3">
        <f t="shared" si="34"/>
        <v>0</v>
      </c>
      <c r="V91" s="3">
        <f t="shared" si="34"/>
        <v>0</v>
      </c>
      <c r="W91" s="3">
        <f t="shared" si="34"/>
        <v>0</v>
      </c>
      <c r="X91" s="3">
        <f t="shared" si="34"/>
        <v>0</v>
      </c>
      <c r="Y91" s="3">
        <f t="shared" si="34"/>
        <v>0</v>
      </c>
      <c r="Z91" s="3">
        <f t="shared" si="34"/>
        <v>0</v>
      </c>
      <c r="AA91" s="3">
        <f t="shared" si="34"/>
        <v>0</v>
      </c>
      <c r="AB91" s="3">
        <f t="shared" si="34"/>
        <v>0</v>
      </c>
      <c r="AC91" s="3">
        <f t="shared" si="34"/>
        <v>0</v>
      </c>
      <c r="AD91" s="3">
        <f t="shared" si="34"/>
        <v>0</v>
      </c>
      <c r="AE91" s="3">
        <f t="shared" si="34"/>
        <v>0</v>
      </c>
      <c r="AF91" s="3">
        <f t="shared" si="34"/>
        <v>0</v>
      </c>
      <c r="AG91" s="3">
        <f t="shared" si="34"/>
        <v>0</v>
      </c>
      <c r="AH91" s="3">
        <f t="shared" si="34"/>
        <v>0</v>
      </c>
      <c r="AI91" s="3">
        <f t="shared" si="34"/>
        <v>0</v>
      </c>
      <c r="AJ91" s="3">
        <f t="shared" si="34"/>
        <v>0</v>
      </c>
      <c r="AK91" s="3">
        <f t="shared" si="34"/>
        <v>0</v>
      </c>
      <c r="AL91" s="3">
        <f t="shared" si="34"/>
        <v>0</v>
      </c>
      <c r="AM91" s="3">
        <f t="shared" si="34"/>
        <v>0</v>
      </c>
      <c r="AN91" s="3">
        <f t="shared" si="34"/>
        <v>0</v>
      </c>
      <c r="AO91" s="3">
        <f t="shared" si="34"/>
        <v>0</v>
      </c>
      <c r="AP91" s="3">
        <f t="shared" si="34"/>
        <v>0</v>
      </c>
      <c r="AQ91" s="3">
        <f t="shared" si="34"/>
        <v>0</v>
      </c>
      <c r="AR91" s="3">
        <f t="shared" si="34"/>
        <v>0</v>
      </c>
      <c r="AS91" s="3">
        <f t="shared" si="34"/>
        <v>0</v>
      </c>
      <c r="AT91" s="3">
        <f t="shared" si="34"/>
        <v>0</v>
      </c>
      <c r="AU91" s="3">
        <f t="shared" si="34"/>
        <v>0</v>
      </c>
      <c r="AV91" s="3">
        <f t="shared" si="34"/>
        <v>0</v>
      </c>
      <c r="AW91" s="3">
        <f t="shared" si="34"/>
        <v>0</v>
      </c>
      <c r="AX91" s="3">
        <f t="shared" si="34"/>
        <v>0</v>
      </c>
      <c r="AY91" s="3">
        <f t="shared" si="34"/>
        <v>0</v>
      </c>
      <c r="AZ91" s="3">
        <f t="shared" si="34"/>
        <v>0</v>
      </c>
      <c r="BA91" s="3">
        <f t="shared" si="34"/>
        <v>0</v>
      </c>
      <c r="BB91" s="3">
        <f t="shared" si="34"/>
        <v>0</v>
      </c>
      <c r="BC91" s="3">
        <f t="shared" si="34"/>
        <v>0</v>
      </c>
      <c r="BD91" s="3">
        <f t="shared" si="34"/>
        <v>0</v>
      </c>
      <c r="BE91" s="3">
        <f t="shared" si="34"/>
        <v>0</v>
      </c>
      <c r="BF91" s="3">
        <f t="shared" si="34"/>
        <v>0</v>
      </c>
      <c r="BG91" s="3">
        <f t="shared" si="34"/>
        <v>0</v>
      </c>
      <c r="BH91" s="3">
        <f t="shared" si="34"/>
        <v>0</v>
      </c>
      <c r="BI91" s="3">
        <f t="shared" si="34"/>
        <v>0</v>
      </c>
      <c r="BJ91" s="3">
        <f t="shared" si="25"/>
        <v>0</v>
      </c>
    </row>
    <row r="92" spans="1:62" ht="14.1" customHeight="1" outlineLevel="1" x14ac:dyDescent="0.2">
      <c r="A92" s="56"/>
      <c r="B92" s="17" t="s">
        <v>134</v>
      </c>
      <c r="C92" s="18">
        <f t="shared" ref="C92:BI92" si="35">+C27</f>
        <v>17</v>
      </c>
      <c r="D92" s="18">
        <f t="shared" si="35"/>
        <v>16</v>
      </c>
      <c r="E92" s="18">
        <f t="shared" si="35"/>
        <v>10</v>
      </c>
      <c r="F92" s="18">
        <f t="shared" si="35"/>
        <v>12</v>
      </c>
      <c r="G92" s="18">
        <f t="shared" si="35"/>
        <v>102</v>
      </c>
      <c r="H92" s="18">
        <f t="shared" si="35"/>
        <v>97</v>
      </c>
      <c r="I92" s="18">
        <f t="shared" si="35"/>
        <v>88</v>
      </c>
      <c r="J92" s="18">
        <f t="shared" si="35"/>
        <v>84</v>
      </c>
      <c r="K92" s="18">
        <f t="shared" si="35"/>
        <v>74</v>
      </c>
      <c r="L92" s="18">
        <f t="shared" si="35"/>
        <v>56</v>
      </c>
      <c r="M92" s="18">
        <f t="shared" si="35"/>
        <v>47</v>
      </c>
      <c r="N92" s="18">
        <f t="shared" si="35"/>
        <v>37</v>
      </c>
      <c r="O92" s="18">
        <f t="shared" si="35"/>
        <v>36</v>
      </c>
      <c r="P92" s="18">
        <f t="shared" si="35"/>
        <v>26</v>
      </c>
      <c r="Q92" s="18">
        <f t="shared" si="35"/>
        <v>18</v>
      </c>
      <c r="R92" s="18">
        <f t="shared" si="35"/>
        <v>12</v>
      </c>
      <c r="S92" s="18">
        <f t="shared" si="35"/>
        <v>7</v>
      </c>
      <c r="T92" s="18">
        <f t="shared" si="35"/>
        <v>4</v>
      </c>
      <c r="U92" s="18">
        <f t="shared" si="35"/>
        <v>0</v>
      </c>
      <c r="V92" s="18">
        <f t="shared" si="35"/>
        <v>0</v>
      </c>
      <c r="W92" s="18">
        <f t="shared" si="35"/>
        <v>0</v>
      </c>
      <c r="X92" s="18">
        <f t="shared" si="35"/>
        <v>0</v>
      </c>
      <c r="Y92" s="18">
        <f t="shared" si="35"/>
        <v>0</v>
      </c>
      <c r="Z92" s="18">
        <f t="shared" si="35"/>
        <v>0</v>
      </c>
      <c r="AA92" s="18">
        <f t="shared" si="35"/>
        <v>0</v>
      </c>
      <c r="AB92" s="18">
        <f t="shared" si="35"/>
        <v>0</v>
      </c>
      <c r="AC92" s="18">
        <f t="shared" si="35"/>
        <v>0</v>
      </c>
      <c r="AD92" s="18">
        <f t="shared" si="35"/>
        <v>0</v>
      </c>
      <c r="AE92" s="18">
        <f t="shared" si="35"/>
        <v>0</v>
      </c>
      <c r="AF92" s="18">
        <f t="shared" si="35"/>
        <v>0</v>
      </c>
      <c r="AG92" s="18">
        <f t="shared" si="35"/>
        <v>0</v>
      </c>
      <c r="AH92" s="18">
        <f t="shared" si="35"/>
        <v>0</v>
      </c>
      <c r="AI92" s="18">
        <f t="shared" si="35"/>
        <v>0</v>
      </c>
      <c r="AJ92" s="18">
        <f t="shared" si="35"/>
        <v>0</v>
      </c>
      <c r="AK92" s="18">
        <f t="shared" si="35"/>
        <v>0</v>
      </c>
      <c r="AL92" s="18">
        <f t="shared" si="35"/>
        <v>0</v>
      </c>
      <c r="AM92" s="18">
        <f t="shared" si="35"/>
        <v>0</v>
      </c>
      <c r="AN92" s="18">
        <f t="shared" si="35"/>
        <v>0</v>
      </c>
      <c r="AO92" s="18">
        <f t="shared" si="35"/>
        <v>0</v>
      </c>
      <c r="AP92" s="18">
        <f t="shared" si="35"/>
        <v>0</v>
      </c>
      <c r="AQ92" s="18">
        <f t="shared" si="35"/>
        <v>0</v>
      </c>
      <c r="AR92" s="18">
        <f t="shared" si="35"/>
        <v>0</v>
      </c>
      <c r="AS92" s="18">
        <f t="shared" si="35"/>
        <v>0</v>
      </c>
      <c r="AT92" s="18">
        <f t="shared" si="35"/>
        <v>0</v>
      </c>
      <c r="AU92" s="18">
        <f t="shared" si="35"/>
        <v>0</v>
      </c>
      <c r="AV92" s="18">
        <f t="shared" si="35"/>
        <v>0</v>
      </c>
      <c r="AW92" s="18">
        <f t="shared" si="35"/>
        <v>0</v>
      </c>
      <c r="AX92" s="18">
        <f t="shared" si="35"/>
        <v>0</v>
      </c>
      <c r="AY92" s="18">
        <f t="shared" si="35"/>
        <v>0</v>
      </c>
      <c r="AZ92" s="18">
        <f t="shared" si="35"/>
        <v>0</v>
      </c>
      <c r="BA92" s="18">
        <f t="shared" si="35"/>
        <v>0</v>
      </c>
      <c r="BB92" s="18">
        <f t="shared" si="35"/>
        <v>0</v>
      </c>
      <c r="BC92" s="18">
        <f t="shared" si="35"/>
        <v>0</v>
      </c>
      <c r="BD92" s="18">
        <f t="shared" si="35"/>
        <v>0</v>
      </c>
      <c r="BE92" s="18">
        <f t="shared" si="35"/>
        <v>0</v>
      </c>
      <c r="BF92" s="18">
        <f t="shared" si="35"/>
        <v>0</v>
      </c>
      <c r="BG92" s="18">
        <f t="shared" si="35"/>
        <v>0</v>
      </c>
      <c r="BH92" s="18">
        <f t="shared" si="35"/>
        <v>0</v>
      </c>
      <c r="BI92" s="18">
        <f t="shared" si="35"/>
        <v>0</v>
      </c>
      <c r="BJ92" s="18">
        <f t="shared" si="25"/>
        <v>0</v>
      </c>
    </row>
    <row r="93" spans="1:62" outlineLevel="1" x14ac:dyDescent="0.2">
      <c r="A93" s="56"/>
      <c r="B93" s="5" t="s">
        <v>242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</row>
    <row r="94" spans="1:62" ht="14.1" customHeight="1" outlineLevel="1" x14ac:dyDescent="0.2">
      <c r="A94" s="56"/>
      <c r="B94" s="16" t="s">
        <v>178</v>
      </c>
      <c r="C94" s="21">
        <f t="shared" ref="C94:BI94" si="36">SUM(C95,C99)</f>
        <v>1110.3119999999999</v>
      </c>
      <c r="D94" s="21">
        <f t="shared" si="36"/>
        <v>1403.2529999999999</v>
      </c>
      <c r="E94" s="21">
        <f t="shared" si="36"/>
        <v>548.07899999999995</v>
      </c>
      <c r="F94" s="21">
        <f t="shared" si="36"/>
        <v>800.279</v>
      </c>
      <c r="G94" s="21">
        <f t="shared" si="36"/>
        <v>1205.654</v>
      </c>
      <c r="H94" s="21">
        <f t="shared" si="36"/>
        <v>1579.4090000000001</v>
      </c>
      <c r="I94" s="21">
        <f t="shared" si="36"/>
        <v>661.56600000000003</v>
      </c>
      <c r="J94" s="21">
        <f t="shared" si="36"/>
        <v>991.02599999999995</v>
      </c>
      <c r="K94" s="21">
        <f t="shared" si="36"/>
        <v>1344.3009999999999</v>
      </c>
      <c r="L94" s="21">
        <f t="shared" si="36"/>
        <v>1743.001</v>
      </c>
      <c r="M94" s="21">
        <f t="shared" si="36"/>
        <v>604.26</v>
      </c>
      <c r="N94" s="21">
        <f t="shared" si="36"/>
        <v>947.06</v>
      </c>
      <c r="O94" s="21">
        <f t="shared" si="36"/>
        <v>1231.4100000000001</v>
      </c>
      <c r="P94" s="21">
        <f t="shared" si="36"/>
        <v>1499.461</v>
      </c>
      <c r="Q94" s="21">
        <f t="shared" si="36"/>
        <v>592.15</v>
      </c>
      <c r="R94" s="21">
        <f t="shared" si="36"/>
        <v>975.02499999999998</v>
      </c>
      <c r="S94" s="21">
        <f t="shared" si="36"/>
        <v>1242.2750000000001</v>
      </c>
      <c r="T94" s="21">
        <f t="shared" si="36"/>
        <v>1628.2750000000001</v>
      </c>
      <c r="U94" s="21">
        <f t="shared" si="36"/>
        <v>582.25</v>
      </c>
      <c r="V94" s="21">
        <f t="shared" si="36"/>
        <v>907.02499999999998</v>
      </c>
      <c r="W94" s="21">
        <f t="shared" si="36"/>
        <v>1200.5999999999999</v>
      </c>
      <c r="X94" s="21">
        <f t="shared" si="36"/>
        <v>1635.75</v>
      </c>
      <c r="Y94" s="21">
        <f t="shared" si="36"/>
        <v>599.97199999999998</v>
      </c>
      <c r="Z94" s="21">
        <f t="shared" si="36"/>
        <v>950.24699999999996</v>
      </c>
      <c r="AA94" s="21">
        <f t="shared" si="36"/>
        <v>1252.1189999999999</v>
      </c>
      <c r="AB94" s="21">
        <f t="shared" si="36"/>
        <v>1708.614</v>
      </c>
      <c r="AC94" s="21">
        <f t="shared" si="36"/>
        <v>634.11500000000001</v>
      </c>
      <c r="AD94" s="21">
        <f t="shared" si="36"/>
        <v>1009.21</v>
      </c>
      <c r="AE94" s="21">
        <f t="shared" si="36"/>
        <v>1234.26</v>
      </c>
      <c r="AF94" s="21">
        <f t="shared" si="36"/>
        <v>1506.96</v>
      </c>
      <c r="AG94" s="21">
        <f t="shared" si="36"/>
        <v>757</v>
      </c>
      <c r="AH94" s="21">
        <f t="shared" si="36"/>
        <v>1104.08</v>
      </c>
      <c r="AI94" s="21">
        <f t="shared" si="36"/>
        <v>1347.08</v>
      </c>
      <c r="AJ94" s="21">
        <f t="shared" si="36"/>
        <v>1750.23</v>
      </c>
      <c r="AK94" s="21">
        <f t="shared" si="36"/>
        <v>615</v>
      </c>
      <c r="AL94" s="21">
        <f t="shared" si="36"/>
        <v>1079</v>
      </c>
      <c r="AM94" s="21">
        <f t="shared" si="36"/>
        <v>1497</v>
      </c>
      <c r="AN94" s="21">
        <f t="shared" si="36"/>
        <v>1946</v>
      </c>
      <c r="AO94" s="21">
        <f t="shared" si="36"/>
        <v>621</v>
      </c>
      <c r="AP94" s="21">
        <f t="shared" si="36"/>
        <v>1081</v>
      </c>
      <c r="AQ94" s="21">
        <f t="shared" si="36"/>
        <v>1431</v>
      </c>
      <c r="AR94" s="21">
        <f t="shared" si="36"/>
        <v>1835</v>
      </c>
      <c r="AS94" s="21">
        <f t="shared" si="36"/>
        <v>755</v>
      </c>
      <c r="AT94" s="21">
        <f t="shared" si="36"/>
        <v>1283</v>
      </c>
      <c r="AU94" s="21">
        <f t="shared" si="36"/>
        <v>1636</v>
      </c>
      <c r="AV94" s="21">
        <f t="shared" si="36"/>
        <v>2135</v>
      </c>
      <c r="AW94" s="21">
        <f t="shared" si="36"/>
        <v>706</v>
      </c>
      <c r="AX94" s="21">
        <f t="shared" si="36"/>
        <v>1087</v>
      </c>
      <c r="AY94" s="21">
        <f t="shared" si="36"/>
        <v>1640</v>
      </c>
      <c r="AZ94" s="21">
        <f t="shared" si="36"/>
        <v>2181</v>
      </c>
      <c r="BA94" s="21">
        <f t="shared" si="36"/>
        <v>618</v>
      </c>
      <c r="BB94" s="21">
        <f t="shared" si="36"/>
        <v>1133</v>
      </c>
      <c r="BC94" s="21">
        <f t="shared" si="36"/>
        <v>1483</v>
      </c>
      <c r="BD94" s="21">
        <f t="shared" si="36"/>
        <v>2012</v>
      </c>
      <c r="BE94" s="21">
        <f t="shared" si="36"/>
        <v>380</v>
      </c>
      <c r="BF94" s="21">
        <f t="shared" si="36"/>
        <v>811</v>
      </c>
      <c r="BG94" s="21">
        <f t="shared" si="36"/>
        <v>1238</v>
      </c>
      <c r="BH94" s="21">
        <f t="shared" si="36"/>
        <v>1669</v>
      </c>
      <c r="BI94" s="21">
        <f t="shared" si="36"/>
        <v>586</v>
      </c>
      <c r="BJ94" s="21">
        <f>SUM(BJ95,BJ99)</f>
        <v>1024</v>
      </c>
    </row>
    <row r="95" spans="1:62" ht="14.1" customHeight="1" outlineLevel="1" x14ac:dyDescent="0.2">
      <c r="A95" s="56"/>
      <c r="B95" s="2" t="s">
        <v>179</v>
      </c>
      <c r="C95" s="4">
        <f t="shared" ref="C95:BI95" si="37">SUM(C96:C98)</f>
        <v>1086</v>
      </c>
      <c r="D95" s="4">
        <f t="shared" si="37"/>
        <v>1377</v>
      </c>
      <c r="E95" s="4">
        <f t="shared" si="37"/>
        <v>545</v>
      </c>
      <c r="F95" s="4">
        <f t="shared" si="37"/>
        <v>797</v>
      </c>
      <c r="G95" s="4">
        <f t="shared" si="37"/>
        <v>1202</v>
      </c>
      <c r="H95" s="4">
        <f t="shared" si="37"/>
        <v>1573</v>
      </c>
      <c r="I95" s="4">
        <f t="shared" si="37"/>
        <v>646</v>
      </c>
      <c r="J95" s="4">
        <f t="shared" si="37"/>
        <v>967</v>
      </c>
      <c r="K95" s="4">
        <f t="shared" si="37"/>
        <v>1310</v>
      </c>
      <c r="L95" s="4">
        <f t="shared" si="37"/>
        <v>1707</v>
      </c>
      <c r="M95" s="4">
        <f t="shared" si="37"/>
        <v>589</v>
      </c>
      <c r="N95" s="4">
        <f t="shared" si="37"/>
        <v>921</v>
      </c>
      <c r="O95" s="4">
        <f t="shared" si="37"/>
        <v>1205</v>
      </c>
      <c r="P95" s="4">
        <f t="shared" si="37"/>
        <v>1472</v>
      </c>
      <c r="Q95" s="4">
        <f t="shared" si="37"/>
        <v>592</v>
      </c>
      <c r="R95" s="4">
        <f t="shared" si="37"/>
        <v>959</v>
      </c>
      <c r="S95" s="4">
        <f t="shared" si="37"/>
        <v>1226</v>
      </c>
      <c r="T95" s="4">
        <f t="shared" si="37"/>
        <v>1612</v>
      </c>
      <c r="U95" s="4">
        <f t="shared" si="37"/>
        <v>582</v>
      </c>
      <c r="V95" s="4">
        <f t="shared" si="37"/>
        <v>897</v>
      </c>
      <c r="W95" s="4">
        <f t="shared" si="37"/>
        <v>1182</v>
      </c>
      <c r="X95" s="4">
        <f t="shared" si="37"/>
        <v>1615</v>
      </c>
      <c r="Y95" s="4">
        <f t="shared" si="37"/>
        <v>588</v>
      </c>
      <c r="Z95" s="4">
        <f t="shared" si="37"/>
        <v>935</v>
      </c>
      <c r="AA95" s="4">
        <f t="shared" si="37"/>
        <v>1231</v>
      </c>
      <c r="AB95" s="4">
        <f t="shared" si="37"/>
        <v>1685</v>
      </c>
      <c r="AC95" s="4">
        <f t="shared" si="37"/>
        <v>634</v>
      </c>
      <c r="AD95" s="4">
        <f t="shared" si="37"/>
        <v>1009</v>
      </c>
      <c r="AE95" s="4">
        <f t="shared" si="37"/>
        <v>1229</v>
      </c>
      <c r="AF95" s="4">
        <f t="shared" si="37"/>
        <v>1499</v>
      </c>
      <c r="AG95" s="4">
        <f t="shared" si="37"/>
        <v>757</v>
      </c>
      <c r="AH95" s="4">
        <f t="shared" si="37"/>
        <v>1104</v>
      </c>
      <c r="AI95" s="4">
        <f t="shared" si="37"/>
        <v>1347</v>
      </c>
      <c r="AJ95" s="4">
        <f t="shared" si="37"/>
        <v>1749</v>
      </c>
      <c r="AK95" s="4">
        <f t="shared" si="37"/>
        <v>564</v>
      </c>
      <c r="AL95" s="4">
        <f t="shared" si="37"/>
        <v>949</v>
      </c>
      <c r="AM95" s="4">
        <f t="shared" si="37"/>
        <v>1268</v>
      </c>
      <c r="AN95" s="4">
        <f t="shared" si="37"/>
        <v>1673</v>
      </c>
      <c r="AO95" s="4">
        <f t="shared" si="37"/>
        <v>588</v>
      </c>
      <c r="AP95" s="4">
        <f t="shared" si="37"/>
        <v>978</v>
      </c>
      <c r="AQ95" s="4">
        <f t="shared" si="37"/>
        <v>1198</v>
      </c>
      <c r="AR95" s="4">
        <f t="shared" si="37"/>
        <v>1481</v>
      </c>
      <c r="AS95" s="4">
        <f t="shared" si="37"/>
        <v>661</v>
      </c>
      <c r="AT95" s="4">
        <f t="shared" si="37"/>
        <v>1120</v>
      </c>
      <c r="AU95" s="4">
        <f t="shared" si="37"/>
        <v>1362</v>
      </c>
      <c r="AV95" s="4">
        <f t="shared" si="37"/>
        <v>1792</v>
      </c>
      <c r="AW95" s="4">
        <f t="shared" si="37"/>
        <v>620</v>
      </c>
      <c r="AX95" s="4">
        <f t="shared" si="37"/>
        <v>941</v>
      </c>
      <c r="AY95" s="4">
        <f t="shared" si="37"/>
        <v>1307</v>
      </c>
      <c r="AZ95" s="4">
        <f t="shared" si="37"/>
        <v>1726</v>
      </c>
      <c r="BA95" s="4">
        <f t="shared" si="37"/>
        <v>563</v>
      </c>
      <c r="BB95" s="4">
        <f t="shared" si="37"/>
        <v>953</v>
      </c>
      <c r="BC95" s="4">
        <f t="shared" si="37"/>
        <v>1202</v>
      </c>
      <c r="BD95" s="4">
        <f t="shared" si="37"/>
        <v>1629</v>
      </c>
      <c r="BE95" s="4">
        <f t="shared" si="37"/>
        <v>367</v>
      </c>
      <c r="BF95" s="4">
        <f t="shared" si="37"/>
        <v>711</v>
      </c>
      <c r="BG95" s="4">
        <f t="shared" si="37"/>
        <v>1019</v>
      </c>
      <c r="BH95" s="4">
        <f t="shared" si="37"/>
        <v>1402</v>
      </c>
      <c r="BI95" s="4">
        <f t="shared" si="37"/>
        <v>555</v>
      </c>
      <c r="BJ95" s="4">
        <f>SUM(BJ96:BJ98)</f>
        <v>981</v>
      </c>
    </row>
    <row r="96" spans="1:62" ht="14.1" customHeight="1" outlineLevel="1" x14ac:dyDescent="0.2">
      <c r="A96" s="56"/>
      <c r="B96" s="22" t="s">
        <v>47</v>
      </c>
      <c r="C96" s="3">
        <v>1008</v>
      </c>
      <c r="D96" s="3">
        <v>1289</v>
      </c>
      <c r="E96" s="3">
        <f>+E31</f>
        <v>503</v>
      </c>
      <c r="F96" s="3">
        <v>738</v>
      </c>
      <c r="G96" s="3">
        <v>1126</v>
      </c>
      <c r="H96" s="3">
        <v>1493</v>
      </c>
      <c r="I96" s="3">
        <f>+I31</f>
        <v>563</v>
      </c>
      <c r="J96" s="3">
        <v>868</v>
      </c>
      <c r="K96" s="3">
        <v>1193</v>
      </c>
      <c r="L96" s="3">
        <v>1571</v>
      </c>
      <c r="M96" s="3">
        <f>+M31</f>
        <v>563</v>
      </c>
      <c r="N96" s="3">
        <v>888</v>
      </c>
      <c r="O96" s="3">
        <v>1150</v>
      </c>
      <c r="P96" s="3">
        <v>1408</v>
      </c>
      <c r="Q96" s="3">
        <f>+Q31</f>
        <v>571</v>
      </c>
      <c r="R96" s="3">
        <v>922</v>
      </c>
      <c r="S96" s="3">
        <v>1165</v>
      </c>
      <c r="T96" s="3">
        <v>1541</v>
      </c>
      <c r="U96" s="3">
        <f>+U31</f>
        <v>550</v>
      </c>
      <c r="V96" s="3">
        <v>857</v>
      </c>
      <c r="W96" s="3">
        <v>1105</v>
      </c>
      <c r="X96" s="3">
        <v>1524</v>
      </c>
      <c r="Y96" s="3">
        <f>+Y31</f>
        <v>517</v>
      </c>
      <c r="Z96" s="3">
        <v>859</v>
      </c>
      <c r="AA96" s="3">
        <v>1111</v>
      </c>
      <c r="AB96" s="3">
        <v>1542</v>
      </c>
      <c r="AC96" s="3">
        <f>+AC31</f>
        <v>592</v>
      </c>
      <c r="AD96" s="3">
        <v>961</v>
      </c>
      <c r="AE96" s="3">
        <v>1175</v>
      </c>
      <c r="AF96" s="3">
        <v>1442</v>
      </c>
      <c r="AG96" s="3">
        <f>+AG31</f>
        <v>710</v>
      </c>
      <c r="AH96" s="3">
        <v>1044</v>
      </c>
      <c r="AI96" s="3">
        <v>1279</v>
      </c>
      <c r="AJ96" s="3">
        <v>1670</v>
      </c>
      <c r="AK96" s="3">
        <f>+AK31</f>
        <v>502</v>
      </c>
      <c r="AL96" s="3">
        <v>863</v>
      </c>
      <c r="AM96" s="3">
        <v>1136</v>
      </c>
      <c r="AN96" s="3">
        <v>1527</v>
      </c>
      <c r="AO96" s="3">
        <f>+AO31</f>
        <v>488</v>
      </c>
      <c r="AP96" s="3">
        <v>823</v>
      </c>
      <c r="AQ96" s="3">
        <v>1019</v>
      </c>
      <c r="AR96" s="3">
        <v>1273</v>
      </c>
      <c r="AS96" s="3">
        <f>+AS31</f>
        <v>527</v>
      </c>
      <c r="AT96" s="3">
        <v>916</v>
      </c>
      <c r="AU96" s="3">
        <v>1148</v>
      </c>
      <c r="AV96" s="3">
        <v>1523</v>
      </c>
      <c r="AW96" s="3">
        <f>+AW31</f>
        <v>537</v>
      </c>
      <c r="AX96" s="3">
        <v>840</v>
      </c>
      <c r="AY96" s="3">
        <v>1153</v>
      </c>
      <c r="AZ96" s="3">
        <v>1499</v>
      </c>
      <c r="BA96" s="3">
        <f>+BA31</f>
        <v>484</v>
      </c>
      <c r="BB96" s="3">
        <v>838</v>
      </c>
      <c r="BC96" s="3">
        <v>1047</v>
      </c>
      <c r="BD96" s="3">
        <v>1447</v>
      </c>
      <c r="BE96" s="3">
        <f>+BE31</f>
        <v>275</v>
      </c>
      <c r="BF96" s="3">
        <v>560</v>
      </c>
      <c r="BG96" s="3">
        <v>834</v>
      </c>
      <c r="BH96" s="3">
        <v>1188</v>
      </c>
      <c r="BI96" s="3">
        <f>+BI31</f>
        <v>488</v>
      </c>
      <c r="BJ96" s="3">
        <v>854</v>
      </c>
    </row>
    <row r="97" spans="1:62" ht="14.1" customHeight="1" outlineLevel="1" x14ac:dyDescent="0.2">
      <c r="A97" s="56"/>
      <c r="B97" s="22" t="s">
        <v>48</v>
      </c>
      <c r="C97" s="3">
        <v>78</v>
      </c>
      <c r="D97" s="3">
        <v>88</v>
      </c>
      <c r="E97" s="3">
        <f>+E32</f>
        <v>42</v>
      </c>
      <c r="F97" s="3">
        <v>59</v>
      </c>
      <c r="G97" s="3">
        <v>76</v>
      </c>
      <c r="H97" s="3">
        <v>80</v>
      </c>
      <c r="I97" s="3">
        <f>+I32</f>
        <v>83</v>
      </c>
      <c r="J97" s="3">
        <v>99</v>
      </c>
      <c r="K97" s="3">
        <v>117</v>
      </c>
      <c r="L97" s="3">
        <v>136</v>
      </c>
      <c r="M97" s="3">
        <f>+M32</f>
        <v>26</v>
      </c>
      <c r="N97" s="3">
        <v>33</v>
      </c>
      <c r="O97" s="3">
        <v>55</v>
      </c>
      <c r="P97" s="3">
        <v>64</v>
      </c>
      <c r="Q97" s="3">
        <f>+Q32</f>
        <v>21</v>
      </c>
      <c r="R97" s="3">
        <v>37</v>
      </c>
      <c r="S97" s="3">
        <v>61</v>
      </c>
      <c r="T97" s="3">
        <v>71</v>
      </c>
      <c r="U97" s="3">
        <f>+U32</f>
        <v>32</v>
      </c>
      <c r="V97" s="3">
        <v>40</v>
      </c>
      <c r="W97" s="3">
        <v>77</v>
      </c>
      <c r="X97" s="3">
        <v>91</v>
      </c>
      <c r="Y97" s="3">
        <f>+Y32</f>
        <v>71</v>
      </c>
      <c r="Z97" s="3">
        <v>76</v>
      </c>
      <c r="AA97" s="3">
        <v>120</v>
      </c>
      <c r="AB97" s="3">
        <v>143</v>
      </c>
      <c r="AC97" s="3">
        <f>+AC32</f>
        <v>42</v>
      </c>
      <c r="AD97" s="3">
        <v>48</v>
      </c>
      <c r="AE97" s="3">
        <v>54</v>
      </c>
      <c r="AF97" s="3">
        <v>57</v>
      </c>
      <c r="AG97" s="3">
        <f>+AG32</f>
        <v>47</v>
      </c>
      <c r="AH97" s="3">
        <v>60</v>
      </c>
      <c r="AI97" s="3">
        <v>68</v>
      </c>
      <c r="AJ97" s="3">
        <v>79</v>
      </c>
      <c r="AK97" s="3">
        <f>+AK32</f>
        <v>62</v>
      </c>
      <c r="AL97" s="3">
        <v>86</v>
      </c>
      <c r="AM97" s="3">
        <v>132</v>
      </c>
      <c r="AN97" s="3">
        <v>146</v>
      </c>
      <c r="AO97" s="3">
        <f>+AO32</f>
        <v>100</v>
      </c>
      <c r="AP97" s="3">
        <v>155</v>
      </c>
      <c r="AQ97" s="3">
        <v>179</v>
      </c>
      <c r="AR97" s="3">
        <v>208</v>
      </c>
      <c r="AS97" s="3">
        <f>+AS32</f>
        <v>126</v>
      </c>
      <c r="AT97" s="3">
        <v>185</v>
      </c>
      <c r="AU97" s="3">
        <v>188</v>
      </c>
      <c r="AV97" s="3">
        <v>228</v>
      </c>
      <c r="AW97" s="3">
        <f>+AW32</f>
        <v>65</v>
      </c>
      <c r="AX97" s="3">
        <v>72</v>
      </c>
      <c r="AY97" s="3">
        <v>111</v>
      </c>
      <c r="AZ97" s="3">
        <v>169</v>
      </c>
      <c r="BA97" s="3">
        <f>+BA32</f>
        <v>49</v>
      </c>
      <c r="BB97" s="3">
        <v>64</v>
      </c>
      <c r="BC97" s="3">
        <v>82</v>
      </c>
      <c r="BD97" s="3">
        <v>89</v>
      </c>
      <c r="BE97" s="3">
        <f>+BE32</f>
        <v>85</v>
      </c>
      <c r="BF97" s="3">
        <v>128</v>
      </c>
      <c r="BG97" s="3">
        <v>145</v>
      </c>
      <c r="BH97" s="3">
        <v>163</v>
      </c>
      <c r="BI97" s="3">
        <f>+BI32</f>
        <v>52</v>
      </c>
      <c r="BJ97" s="3">
        <v>90</v>
      </c>
    </row>
    <row r="98" spans="1:62" ht="14.1" customHeight="1" outlineLevel="1" x14ac:dyDescent="0.2">
      <c r="A98" s="56"/>
      <c r="B98" s="22" t="s">
        <v>204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>
        <f>+AS33</f>
        <v>8</v>
      </c>
      <c r="AT98" s="3">
        <v>19</v>
      </c>
      <c r="AU98" s="3">
        <v>26</v>
      </c>
      <c r="AV98" s="3">
        <v>41</v>
      </c>
      <c r="AW98" s="3">
        <f>+AW33</f>
        <v>18</v>
      </c>
      <c r="AX98" s="3">
        <v>29</v>
      </c>
      <c r="AY98" s="3">
        <v>43</v>
      </c>
      <c r="AZ98" s="3">
        <v>58</v>
      </c>
      <c r="BA98" s="3">
        <f>+BA33</f>
        <v>30</v>
      </c>
      <c r="BB98" s="3">
        <v>51</v>
      </c>
      <c r="BC98" s="3">
        <v>73</v>
      </c>
      <c r="BD98" s="3">
        <v>93</v>
      </c>
      <c r="BE98" s="3">
        <f>+BE33</f>
        <v>7</v>
      </c>
      <c r="BF98" s="3">
        <v>23</v>
      </c>
      <c r="BG98" s="3">
        <v>40</v>
      </c>
      <c r="BH98" s="3">
        <v>51</v>
      </c>
      <c r="BI98" s="3">
        <f>+BI33</f>
        <v>15</v>
      </c>
      <c r="BJ98" s="3">
        <v>37</v>
      </c>
    </row>
    <row r="99" spans="1:62" ht="14.1" customHeight="1" outlineLevel="1" x14ac:dyDescent="0.2">
      <c r="A99" s="56"/>
      <c r="B99" s="119" t="s">
        <v>177</v>
      </c>
      <c r="C99" s="118">
        <v>24.312000000000001</v>
      </c>
      <c r="D99" s="118">
        <v>26.253</v>
      </c>
      <c r="E99" s="118">
        <f>+E34</f>
        <v>3.0790000000000002</v>
      </c>
      <c r="F99" s="118">
        <v>3.2790000000000004</v>
      </c>
      <c r="G99" s="118">
        <v>3.6540000000000004</v>
      </c>
      <c r="H99" s="118">
        <v>6.4090000000000007</v>
      </c>
      <c r="I99" s="118">
        <f>+I34</f>
        <v>15.566000000000001</v>
      </c>
      <c r="J99" s="118">
        <v>24.026000000000003</v>
      </c>
      <c r="K99" s="118">
        <v>34.301000000000002</v>
      </c>
      <c r="L99" s="118">
        <v>36.001000000000005</v>
      </c>
      <c r="M99" s="118">
        <f>+M34</f>
        <v>15.26</v>
      </c>
      <c r="N99" s="118">
        <v>26.060000000000002</v>
      </c>
      <c r="O99" s="118">
        <v>26.410000000000004</v>
      </c>
      <c r="P99" s="118">
        <v>27.461000000000002</v>
      </c>
      <c r="Q99" s="118">
        <f>+Q34</f>
        <v>0.15</v>
      </c>
      <c r="R99" s="118">
        <v>16.024999999999999</v>
      </c>
      <c r="S99" s="118">
        <v>16.274999999999999</v>
      </c>
      <c r="T99" s="118">
        <v>16.274999999999999</v>
      </c>
      <c r="U99" s="118">
        <f>+U34</f>
        <v>0.25</v>
      </c>
      <c r="V99" s="118">
        <v>10.025</v>
      </c>
      <c r="W99" s="118">
        <v>18.600000000000001</v>
      </c>
      <c r="X99" s="118">
        <v>20.75</v>
      </c>
      <c r="Y99" s="118">
        <f>+Y34</f>
        <v>11.972</v>
      </c>
      <c r="Z99" s="118">
        <v>15.247</v>
      </c>
      <c r="AA99" s="118">
        <v>21.119</v>
      </c>
      <c r="AB99" s="118">
        <v>23.614000000000001</v>
      </c>
      <c r="AC99" s="118">
        <f>+AC34</f>
        <v>0.115</v>
      </c>
      <c r="AD99" s="118">
        <v>0.21000000000000002</v>
      </c>
      <c r="AE99" s="118">
        <v>5.26</v>
      </c>
      <c r="AF99" s="118">
        <v>7.96</v>
      </c>
      <c r="AG99" s="118">
        <f>+AG34</f>
        <v>0</v>
      </c>
      <c r="AH99" s="118">
        <v>0.08</v>
      </c>
      <c r="AI99" s="118">
        <v>0.08</v>
      </c>
      <c r="AJ99" s="118">
        <v>1.23</v>
      </c>
      <c r="AK99" s="118">
        <f>+AK34</f>
        <v>51</v>
      </c>
      <c r="AL99" s="118">
        <v>130</v>
      </c>
      <c r="AM99" s="118">
        <v>229</v>
      </c>
      <c r="AN99" s="118">
        <v>273</v>
      </c>
      <c r="AO99" s="118">
        <f>+AO34</f>
        <v>33</v>
      </c>
      <c r="AP99" s="118">
        <v>103</v>
      </c>
      <c r="AQ99" s="118">
        <v>233</v>
      </c>
      <c r="AR99" s="118">
        <v>354</v>
      </c>
      <c r="AS99" s="118">
        <f>+AS34</f>
        <v>94</v>
      </c>
      <c r="AT99" s="118">
        <v>163</v>
      </c>
      <c r="AU99" s="118">
        <v>274</v>
      </c>
      <c r="AV99" s="118">
        <v>343</v>
      </c>
      <c r="AW99" s="118">
        <f>+AW34</f>
        <v>86</v>
      </c>
      <c r="AX99" s="118">
        <v>146</v>
      </c>
      <c r="AY99" s="118">
        <v>333</v>
      </c>
      <c r="AZ99" s="118">
        <v>455</v>
      </c>
      <c r="BA99" s="118">
        <f>+BA34</f>
        <v>55</v>
      </c>
      <c r="BB99" s="118">
        <v>180</v>
      </c>
      <c r="BC99" s="118">
        <v>281</v>
      </c>
      <c r="BD99" s="118">
        <v>383</v>
      </c>
      <c r="BE99" s="118">
        <f>+BE34</f>
        <v>13</v>
      </c>
      <c r="BF99" s="118">
        <v>100</v>
      </c>
      <c r="BG99" s="118">
        <v>219</v>
      </c>
      <c r="BH99" s="118">
        <v>267</v>
      </c>
      <c r="BI99" s="118">
        <f>+BI34</f>
        <v>31</v>
      </c>
      <c r="BJ99" s="118">
        <v>43</v>
      </c>
    </row>
    <row r="100" spans="1:62" ht="14.1" customHeight="1" outlineLevel="1" x14ac:dyDescent="0.2">
      <c r="A100" s="56"/>
      <c r="B100" s="2" t="s">
        <v>180</v>
      </c>
      <c r="C100" s="67">
        <f t="shared" ref="C100:BI100" si="38">SUM(C106,C109,C112)</f>
        <v>1086</v>
      </c>
      <c r="D100" s="67">
        <f t="shared" si="38"/>
        <v>1377</v>
      </c>
      <c r="E100" s="67">
        <f t="shared" si="38"/>
        <v>545</v>
      </c>
      <c r="F100" s="67">
        <f t="shared" si="38"/>
        <v>797</v>
      </c>
      <c r="G100" s="67">
        <f t="shared" si="38"/>
        <v>1202</v>
      </c>
      <c r="H100" s="67">
        <f t="shared" si="38"/>
        <v>1573</v>
      </c>
      <c r="I100" s="67">
        <f t="shared" si="38"/>
        <v>646</v>
      </c>
      <c r="J100" s="67">
        <f t="shared" si="38"/>
        <v>967</v>
      </c>
      <c r="K100" s="67">
        <f t="shared" si="38"/>
        <v>1310</v>
      </c>
      <c r="L100" s="67">
        <f t="shared" si="38"/>
        <v>1707</v>
      </c>
      <c r="M100" s="67">
        <f t="shared" si="38"/>
        <v>589</v>
      </c>
      <c r="N100" s="67">
        <f t="shared" si="38"/>
        <v>921</v>
      </c>
      <c r="O100" s="67">
        <f t="shared" si="38"/>
        <v>1205</v>
      </c>
      <c r="P100" s="67">
        <f t="shared" si="38"/>
        <v>1472</v>
      </c>
      <c r="Q100" s="67">
        <f t="shared" si="38"/>
        <v>592</v>
      </c>
      <c r="R100" s="67">
        <f t="shared" si="38"/>
        <v>959</v>
      </c>
      <c r="S100" s="67">
        <f t="shared" si="38"/>
        <v>1226</v>
      </c>
      <c r="T100" s="67">
        <f t="shared" si="38"/>
        <v>1612</v>
      </c>
      <c r="U100" s="67">
        <f t="shared" si="38"/>
        <v>582</v>
      </c>
      <c r="V100" s="67">
        <f t="shared" si="38"/>
        <v>897</v>
      </c>
      <c r="W100" s="67">
        <f t="shared" si="38"/>
        <v>1182</v>
      </c>
      <c r="X100" s="67">
        <f t="shared" si="38"/>
        <v>1615</v>
      </c>
      <c r="Y100" s="67">
        <f t="shared" si="38"/>
        <v>588</v>
      </c>
      <c r="Z100" s="67">
        <f t="shared" si="38"/>
        <v>935</v>
      </c>
      <c r="AA100" s="67">
        <f t="shared" si="38"/>
        <v>1231</v>
      </c>
      <c r="AB100" s="67">
        <f t="shared" si="38"/>
        <v>1684</v>
      </c>
      <c r="AC100" s="67">
        <f t="shared" si="38"/>
        <v>634</v>
      </c>
      <c r="AD100" s="67">
        <f t="shared" si="38"/>
        <v>1009</v>
      </c>
      <c r="AE100" s="67">
        <f t="shared" si="38"/>
        <v>1229</v>
      </c>
      <c r="AF100" s="67">
        <f t="shared" si="38"/>
        <v>1499</v>
      </c>
      <c r="AG100" s="67">
        <f t="shared" si="38"/>
        <v>757</v>
      </c>
      <c r="AH100" s="67">
        <f t="shared" si="38"/>
        <v>1104</v>
      </c>
      <c r="AI100" s="67">
        <f t="shared" si="38"/>
        <v>1346</v>
      </c>
      <c r="AJ100" s="67">
        <f t="shared" si="38"/>
        <v>1747</v>
      </c>
      <c r="AK100" s="67">
        <f t="shared" si="38"/>
        <v>563</v>
      </c>
      <c r="AL100" s="67">
        <f t="shared" si="38"/>
        <v>947</v>
      </c>
      <c r="AM100" s="67">
        <f t="shared" si="38"/>
        <v>1268</v>
      </c>
      <c r="AN100" s="67">
        <f t="shared" si="38"/>
        <v>1675</v>
      </c>
      <c r="AO100" s="67">
        <f t="shared" si="38"/>
        <v>587</v>
      </c>
      <c r="AP100" s="67">
        <f t="shared" si="38"/>
        <v>978</v>
      </c>
      <c r="AQ100" s="67">
        <f t="shared" si="38"/>
        <v>1198</v>
      </c>
      <c r="AR100" s="67">
        <f t="shared" si="38"/>
        <v>1480</v>
      </c>
      <c r="AS100" s="67">
        <f t="shared" si="38"/>
        <v>660</v>
      </c>
      <c r="AT100" s="67">
        <f t="shared" si="38"/>
        <v>1121</v>
      </c>
      <c r="AU100" s="67">
        <f t="shared" si="38"/>
        <v>1360</v>
      </c>
      <c r="AV100" s="67">
        <f t="shared" si="38"/>
        <v>1792</v>
      </c>
      <c r="AW100" s="67">
        <f t="shared" si="38"/>
        <v>619</v>
      </c>
      <c r="AX100" s="67">
        <f t="shared" si="38"/>
        <v>940</v>
      </c>
      <c r="AY100" s="67">
        <f t="shared" si="38"/>
        <v>1307</v>
      </c>
      <c r="AZ100" s="67">
        <f t="shared" si="38"/>
        <v>1726</v>
      </c>
      <c r="BA100" s="67">
        <f t="shared" si="38"/>
        <v>563</v>
      </c>
      <c r="BB100" s="67">
        <f t="shared" si="38"/>
        <v>953</v>
      </c>
      <c r="BC100" s="67">
        <f t="shared" si="38"/>
        <v>1202</v>
      </c>
      <c r="BD100" s="67">
        <f t="shared" si="38"/>
        <v>1629</v>
      </c>
      <c r="BE100" s="67">
        <f t="shared" si="38"/>
        <v>368</v>
      </c>
      <c r="BF100" s="67">
        <f t="shared" si="38"/>
        <v>711</v>
      </c>
      <c r="BG100" s="67">
        <f t="shared" si="38"/>
        <v>1020</v>
      </c>
      <c r="BH100" s="67">
        <f t="shared" si="38"/>
        <v>1402</v>
      </c>
      <c r="BI100" s="67">
        <f t="shared" si="38"/>
        <v>555</v>
      </c>
      <c r="BJ100" s="67">
        <f>SUM(BJ106,BJ109,BJ112)</f>
        <v>981</v>
      </c>
    </row>
    <row r="101" spans="1:62" ht="14.1" customHeight="1" outlineLevel="1" x14ac:dyDescent="0.2">
      <c r="A101" s="56"/>
      <c r="B101" s="52" t="s">
        <v>51</v>
      </c>
      <c r="C101" s="25">
        <v>305</v>
      </c>
      <c r="D101" s="25">
        <v>343</v>
      </c>
      <c r="E101" s="3">
        <v>210</v>
      </c>
      <c r="F101" s="3">
        <v>252</v>
      </c>
      <c r="G101" s="3">
        <v>265</v>
      </c>
      <c r="H101" s="3">
        <v>334</v>
      </c>
      <c r="I101" s="3">
        <v>191</v>
      </c>
      <c r="J101" s="3">
        <v>237</v>
      </c>
      <c r="K101" s="3">
        <v>253</v>
      </c>
      <c r="L101" s="3">
        <v>303</v>
      </c>
      <c r="M101" s="3">
        <v>210</v>
      </c>
      <c r="N101" s="3">
        <v>276</v>
      </c>
      <c r="O101" s="3">
        <v>293</v>
      </c>
      <c r="P101" s="3">
        <v>301</v>
      </c>
      <c r="Q101" s="3">
        <v>208</v>
      </c>
      <c r="R101" s="3">
        <v>281</v>
      </c>
      <c r="S101" s="3">
        <v>289</v>
      </c>
      <c r="T101" s="3">
        <v>337</v>
      </c>
      <c r="U101" s="3">
        <v>172</v>
      </c>
      <c r="V101" s="3">
        <v>223</v>
      </c>
      <c r="W101" s="3">
        <v>235</v>
      </c>
      <c r="X101" s="3">
        <v>286</v>
      </c>
      <c r="Y101" s="3">
        <v>166</v>
      </c>
      <c r="Z101" s="3">
        <v>199</v>
      </c>
      <c r="AA101" s="3">
        <v>216</v>
      </c>
      <c r="AB101" s="3">
        <v>253</v>
      </c>
      <c r="AC101" s="3">
        <v>159</v>
      </c>
      <c r="AD101" s="3">
        <v>202</v>
      </c>
      <c r="AE101" s="3">
        <v>215</v>
      </c>
      <c r="AF101" s="3">
        <v>217</v>
      </c>
      <c r="AG101" s="3">
        <v>182</v>
      </c>
      <c r="AH101" s="3">
        <v>212</v>
      </c>
      <c r="AI101" s="3">
        <v>212</v>
      </c>
      <c r="AJ101" s="3">
        <v>212</v>
      </c>
      <c r="AK101" s="3">
        <v>139</v>
      </c>
      <c r="AL101" s="3">
        <v>236</v>
      </c>
      <c r="AM101" s="3">
        <v>260</v>
      </c>
      <c r="AN101" s="3">
        <v>315</v>
      </c>
      <c r="AO101" s="3">
        <v>154</v>
      </c>
      <c r="AP101" s="3">
        <v>238</v>
      </c>
      <c r="AQ101" s="3">
        <v>261</v>
      </c>
      <c r="AR101" s="3">
        <v>288</v>
      </c>
      <c r="AS101" s="59">
        <v>206</v>
      </c>
      <c r="AT101" s="59">
        <v>311</v>
      </c>
      <c r="AU101" s="59">
        <v>327</v>
      </c>
      <c r="AV101" s="3">
        <v>362</v>
      </c>
      <c r="AW101" s="3">
        <v>155</v>
      </c>
      <c r="AX101" s="3">
        <v>212</v>
      </c>
      <c r="AY101" s="3">
        <v>238</v>
      </c>
      <c r="AZ101" s="3">
        <v>321</v>
      </c>
      <c r="BA101" s="3">
        <f t="shared" ref="BA101:BA107" si="39">+BA36</f>
        <v>146</v>
      </c>
      <c r="BB101" s="3">
        <v>228</v>
      </c>
      <c r="BC101" s="3">
        <v>257</v>
      </c>
      <c r="BD101" s="3">
        <v>323</v>
      </c>
      <c r="BE101" s="3">
        <f t="shared" ref="BE101:BE107" si="40">+BE36</f>
        <v>139</v>
      </c>
      <c r="BF101" s="3">
        <v>216</v>
      </c>
      <c r="BG101" s="3">
        <v>280</v>
      </c>
      <c r="BH101" s="3">
        <v>310</v>
      </c>
      <c r="BI101" s="3">
        <f t="shared" ref="BI101:BI107" si="41">+BI36</f>
        <v>182</v>
      </c>
      <c r="BJ101" s="3">
        <v>252</v>
      </c>
    </row>
    <row r="102" spans="1:62" ht="14.1" customHeight="1" outlineLevel="1" x14ac:dyDescent="0.2">
      <c r="A102" s="56"/>
      <c r="B102" s="52" t="s">
        <v>52</v>
      </c>
      <c r="C102" s="25">
        <v>217</v>
      </c>
      <c r="D102" s="25">
        <v>245</v>
      </c>
      <c r="E102" s="3">
        <v>150</v>
      </c>
      <c r="F102" s="3">
        <v>191</v>
      </c>
      <c r="G102" s="3">
        <v>233</v>
      </c>
      <c r="H102" s="3">
        <v>282</v>
      </c>
      <c r="I102" s="3">
        <v>129</v>
      </c>
      <c r="J102" s="3">
        <v>210</v>
      </c>
      <c r="K102" s="3">
        <v>232</v>
      </c>
      <c r="L102" s="3">
        <v>266</v>
      </c>
      <c r="M102" s="3">
        <v>135</v>
      </c>
      <c r="N102" s="3">
        <v>229</v>
      </c>
      <c r="O102" s="3">
        <v>255</v>
      </c>
      <c r="P102" s="3">
        <v>266</v>
      </c>
      <c r="Q102" s="3">
        <v>160</v>
      </c>
      <c r="R102" s="3">
        <v>277</v>
      </c>
      <c r="S102" s="3">
        <v>303</v>
      </c>
      <c r="T102" s="3">
        <v>346</v>
      </c>
      <c r="U102" s="3">
        <v>148</v>
      </c>
      <c r="V102" s="3">
        <v>245</v>
      </c>
      <c r="W102" s="3">
        <v>281</v>
      </c>
      <c r="X102" s="3">
        <v>336</v>
      </c>
      <c r="Y102" s="3">
        <v>146</v>
      </c>
      <c r="Z102" s="3">
        <v>256</v>
      </c>
      <c r="AA102" s="3">
        <v>300</v>
      </c>
      <c r="AB102" s="3">
        <v>338</v>
      </c>
      <c r="AC102" s="3">
        <v>185</v>
      </c>
      <c r="AD102" s="3">
        <v>282</v>
      </c>
      <c r="AE102" s="3">
        <v>316</v>
      </c>
      <c r="AF102" s="3">
        <v>321</v>
      </c>
      <c r="AG102" s="3">
        <v>210</v>
      </c>
      <c r="AH102" s="3">
        <v>298</v>
      </c>
      <c r="AI102" s="3">
        <v>298</v>
      </c>
      <c r="AJ102" s="3">
        <v>298</v>
      </c>
      <c r="AK102" s="3">
        <v>0</v>
      </c>
      <c r="AL102" s="3">
        <v>4</v>
      </c>
      <c r="AM102" s="3">
        <v>5</v>
      </c>
      <c r="AN102" s="3">
        <v>5</v>
      </c>
      <c r="AO102" s="3">
        <v>0</v>
      </c>
      <c r="AP102" s="3">
        <v>0</v>
      </c>
      <c r="AQ102" s="3">
        <v>0</v>
      </c>
      <c r="AR102" s="3">
        <v>0</v>
      </c>
      <c r="AS102" s="59">
        <v>0</v>
      </c>
      <c r="AT102" s="59">
        <v>0</v>
      </c>
      <c r="AU102" s="59">
        <v>0</v>
      </c>
      <c r="AV102" s="59">
        <v>0</v>
      </c>
      <c r="AW102" s="59">
        <v>0</v>
      </c>
      <c r="AX102" s="3">
        <v>0</v>
      </c>
      <c r="AY102" s="3">
        <v>2</v>
      </c>
      <c r="AZ102" s="3">
        <v>2</v>
      </c>
      <c r="BA102" s="3">
        <f t="shared" si="39"/>
        <v>0</v>
      </c>
      <c r="BB102" s="3">
        <v>1</v>
      </c>
      <c r="BC102" s="3">
        <v>1</v>
      </c>
      <c r="BD102" s="3">
        <v>2</v>
      </c>
      <c r="BE102" s="3">
        <f t="shared" si="40"/>
        <v>0</v>
      </c>
      <c r="BF102" s="3">
        <v>0</v>
      </c>
      <c r="BG102" s="3">
        <v>0</v>
      </c>
      <c r="BH102" s="3">
        <v>1</v>
      </c>
      <c r="BI102" s="3">
        <f t="shared" si="41"/>
        <v>1</v>
      </c>
      <c r="BJ102" s="3">
        <v>1</v>
      </c>
    </row>
    <row r="103" spans="1:62" ht="14.1" customHeight="1" outlineLevel="1" x14ac:dyDescent="0.2">
      <c r="A103" s="56"/>
      <c r="B103" s="52" t="s">
        <v>53</v>
      </c>
      <c r="C103" s="25">
        <v>51</v>
      </c>
      <c r="D103" s="25">
        <v>54</v>
      </c>
      <c r="E103" s="3">
        <v>27</v>
      </c>
      <c r="F103" s="3">
        <v>38</v>
      </c>
      <c r="G103" s="3">
        <v>50</v>
      </c>
      <c r="H103" s="3">
        <v>71</v>
      </c>
      <c r="I103" s="3">
        <v>31</v>
      </c>
      <c r="J103" s="3">
        <v>58</v>
      </c>
      <c r="K103" s="3">
        <v>69</v>
      </c>
      <c r="L103" s="3">
        <v>81</v>
      </c>
      <c r="M103" s="3">
        <v>24</v>
      </c>
      <c r="N103" s="3">
        <v>50</v>
      </c>
      <c r="O103" s="3">
        <v>57</v>
      </c>
      <c r="P103" s="3">
        <v>61</v>
      </c>
      <c r="Q103" s="3">
        <v>28</v>
      </c>
      <c r="R103" s="3">
        <v>44</v>
      </c>
      <c r="S103" s="3">
        <v>49</v>
      </c>
      <c r="T103" s="3">
        <v>54</v>
      </c>
      <c r="U103" s="3">
        <v>22</v>
      </c>
      <c r="V103" s="3">
        <v>41</v>
      </c>
      <c r="W103" s="3">
        <v>47</v>
      </c>
      <c r="X103" s="3">
        <v>55</v>
      </c>
      <c r="Y103" s="3">
        <v>26</v>
      </c>
      <c r="Z103" s="3">
        <v>51</v>
      </c>
      <c r="AA103" s="3">
        <v>62</v>
      </c>
      <c r="AB103" s="3">
        <v>68</v>
      </c>
      <c r="AC103" s="3">
        <v>24</v>
      </c>
      <c r="AD103" s="3">
        <v>50</v>
      </c>
      <c r="AE103" s="3">
        <v>50</v>
      </c>
      <c r="AF103" s="3">
        <v>53</v>
      </c>
      <c r="AG103" s="3">
        <v>20</v>
      </c>
      <c r="AH103" s="3">
        <v>44</v>
      </c>
      <c r="AI103" s="3">
        <v>49</v>
      </c>
      <c r="AJ103" s="3">
        <v>63</v>
      </c>
      <c r="AK103" s="3">
        <v>39</v>
      </c>
      <c r="AL103" s="3">
        <v>87</v>
      </c>
      <c r="AM103" s="3">
        <v>101</v>
      </c>
      <c r="AN103" s="3">
        <v>112</v>
      </c>
      <c r="AO103" s="3">
        <v>34</v>
      </c>
      <c r="AP103" s="3">
        <v>73</v>
      </c>
      <c r="AQ103" s="3">
        <v>89</v>
      </c>
      <c r="AR103" s="3">
        <v>94</v>
      </c>
      <c r="AS103" s="59">
        <v>40</v>
      </c>
      <c r="AT103" s="59">
        <v>92</v>
      </c>
      <c r="AU103" s="59">
        <v>103</v>
      </c>
      <c r="AV103" s="3">
        <v>109</v>
      </c>
      <c r="AW103" s="3">
        <v>34</v>
      </c>
      <c r="AX103" s="3">
        <v>59</v>
      </c>
      <c r="AY103" s="3">
        <v>67</v>
      </c>
      <c r="AZ103" s="3">
        <v>75</v>
      </c>
      <c r="BA103" s="3">
        <f t="shared" si="39"/>
        <v>11</v>
      </c>
      <c r="BB103" s="3">
        <v>11</v>
      </c>
      <c r="BC103" s="3">
        <v>11</v>
      </c>
      <c r="BD103" s="3">
        <v>21</v>
      </c>
      <c r="BE103" s="3">
        <f t="shared" si="40"/>
        <v>8</v>
      </c>
      <c r="BF103" s="3">
        <v>21</v>
      </c>
      <c r="BG103" s="3">
        <v>28</v>
      </c>
      <c r="BH103" s="3">
        <v>36</v>
      </c>
      <c r="BI103" s="3">
        <f t="shared" si="41"/>
        <v>25</v>
      </c>
      <c r="BJ103" s="3">
        <v>55</v>
      </c>
    </row>
    <row r="104" spans="1:62" ht="14.1" customHeight="1" outlineLevel="1" x14ac:dyDescent="0.2">
      <c r="A104" s="56"/>
      <c r="B104" s="52" t="s">
        <v>54</v>
      </c>
      <c r="C104" s="25">
        <v>119</v>
      </c>
      <c r="D104" s="25">
        <v>147</v>
      </c>
      <c r="E104" s="3">
        <v>59</v>
      </c>
      <c r="F104" s="3">
        <v>95</v>
      </c>
      <c r="G104" s="3">
        <v>116</v>
      </c>
      <c r="H104" s="3">
        <v>150</v>
      </c>
      <c r="I104" s="3">
        <v>84</v>
      </c>
      <c r="J104" s="3">
        <v>127</v>
      </c>
      <c r="K104" s="3">
        <v>141</v>
      </c>
      <c r="L104" s="3">
        <v>158</v>
      </c>
      <c r="M104" s="3">
        <v>38</v>
      </c>
      <c r="N104" s="3">
        <v>74</v>
      </c>
      <c r="O104" s="3">
        <v>86</v>
      </c>
      <c r="P104" s="3">
        <v>91</v>
      </c>
      <c r="Q104" s="3">
        <v>33</v>
      </c>
      <c r="R104" s="3">
        <v>48</v>
      </c>
      <c r="S104" s="3">
        <v>52</v>
      </c>
      <c r="T104" s="3">
        <v>65</v>
      </c>
      <c r="U104" s="3">
        <v>27</v>
      </c>
      <c r="V104" s="3">
        <v>64</v>
      </c>
      <c r="W104" s="3">
        <v>82</v>
      </c>
      <c r="X104" s="3">
        <v>106</v>
      </c>
      <c r="Y104" s="3">
        <v>25</v>
      </c>
      <c r="Z104" s="3">
        <v>82</v>
      </c>
      <c r="AA104" s="3">
        <v>91</v>
      </c>
      <c r="AB104" s="3">
        <v>108</v>
      </c>
      <c r="AC104" s="3">
        <v>51</v>
      </c>
      <c r="AD104" s="3">
        <v>104</v>
      </c>
      <c r="AE104" s="3">
        <v>119</v>
      </c>
      <c r="AF104" s="3">
        <v>125</v>
      </c>
      <c r="AG104" s="3">
        <v>99</v>
      </c>
      <c r="AH104" s="3">
        <v>184</v>
      </c>
      <c r="AI104" s="3">
        <v>215</v>
      </c>
      <c r="AJ104" s="3">
        <v>285</v>
      </c>
      <c r="AK104" s="3">
        <v>83</v>
      </c>
      <c r="AL104" s="3">
        <v>191</v>
      </c>
      <c r="AM104" s="3">
        <v>217</v>
      </c>
      <c r="AN104" s="3">
        <v>256</v>
      </c>
      <c r="AO104" s="3">
        <v>69</v>
      </c>
      <c r="AP104" s="3">
        <v>172</v>
      </c>
      <c r="AQ104" s="3">
        <v>206</v>
      </c>
      <c r="AR104" s="3">
        <v>226</v>
      </c>
      <c r="AS104" s="59">
        <v>111</v>
      </c>
      <c r="AT104" s="59">
        <v>211</v>
      </c>
      <c r="AU104" s="59">
        <v>241</v>
      </c>
      <c r="AV104" s="3">
        <v>250</v>
      </c>
      <c r="AW104" s="3">
        <v>116</v>
      </c>
      <c r="AX104" s="3">
        <v>207</v>
      </c>
      <c r="AY104" s="3">
        <v>240</v>
      </c>
      <c r="AZ104" s="3">
        <v>272</v>
      </c>
      <c r="BA104" s="3">
        <f t="shared" si="39"/>
        <v>101</v>
      </c>
      <c r="BB104" s="3">
        <v>196</v>
      </c>
      <c r="BC104" s="3">
        <v>230</v>
      </c>
      <c r="BD104" s="3">
        <v>271</v>
      </c>
      <c r="BE104" s="3">
        <f t="shared" si="40"/>
        <v>51</v>
      </c>
      <c r="BF104" s="3">
        <v>148</v>
      </c>
      <c r="BG104" s="3">
        <v>213</v>
      </c>
      <c r="BH104" s="3">
        <v>254</v>
      </c>
      <c r="BI104" s="3">
        <f t="shared" si="41"/>
        <v>93</v>
      </c>
      <c r="BJ104" s="3">
        <v>191</v>
      </c>
    </row>
    <row r="105" spans="1:62" ht="14.1" customHeight="1" outlineLevel="1" x14ac:dyDescent="0.2">
      <c r="A105" s="56"/>
      <c r="B105" s="52" t="s">
        <v>62</v>
      </c>
      <c r="C105" s="25"/>
      <c r="D105" s="25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>
        <v>20</v>
      </c>
      <c r="AQ105" s="3">
        <v>21</v>
      </c>
      <c r="AR105" s="3">
        <v>22</v>
      </c>
      <c r="AS105" s="59">
        <v>7</v>
      </c>
      <c r="AT105" s="59">
        <v>10</v>
      </c>
      <c r="AU105" s="59">
        <v>12</v>
      </c>
      <c r="AV105" s="3">
        <v>12</v>
      </c>
      <c r="AW105" s="3">
        <v>12</v>
      </c>
      <c r="AX105" s="3">
        <v>14</v>
      </c>
      <c r="AY105" s="3">
        <v>14</v>
      </c>
      <c r="AZ105" s="3">
        <v>17</v>
      </c>
      <c r="BA105" s="3">
        <f t="shared" si="39"/>
        <v>6</v>
      </c>
      <c r="BB105" s="3">
        <v>7</v>
      </c>
      <c r="BC105" s="3">
        <v>8</v>
      </c>
      <c r="BD105" s="3">
        <v>8</v>
      </c>
      <c r="BE105" s="3">
        <f t="shared" si="40"/>
        <v>1</v>
      </c>
      <c r="BF105" s="3">
        <v>2</v>
      </c>
      <c r="BG105" s="3">
        <v>3</v>
      </c>
      <c r="BH105" s="3">
        <v>4</v>
      </c>
      <c r="BI105" s="3">
        <f t="shared" si="41"/>
        <v>4</v>
      </c>
      <c r="BJ105" s="3">
        <v>6</v>
      </c>
    </row>
    <row r="106" spans="1:62" ht="14.1" customHeight="1" outlineLevel="1" x14ac:dyDescent="0.2">
      <c r="A106" s="56"/>
      <c r="B106" s="78" t="s">
        <v>209</v>
      </c>
      <c r="C106" s="81">
        <f t="shared" ref="C106:AQ106" si="42">SUM(C101:C105)</f>
        <v>692</v>
      </c>
      <c r="D106" s="81">
        <f t="shared" si="42"/>
        <v>789</v>
      </c>
      <c r="E106" s="81">
        <f t="shared" si="42"/>
        <v>446</v>
      </c>
      <c r="F106" s="81">
        <f t="shared" si="42"/>
        <v>576</v>
      </c>
      <c r="G106" s="81">
        <f t="shared" si="42"/>
        <v>664</v>
      </c>
      <c r="H106" s="81">
        <f t="shared" si="42"/>
        <v>837</v>
      </c>
      <c r="I106" s="81">
        <f t="shared" si="42"/>
        <v>435</v>
      </c>
      <c r="J106" s="81">
        <f t="shared" si="42"/>
        <v>632</v>
      </c>
      <c r="K106" s="81">
        <f t="shared" si="42"/>
        <v>695</v>
      </c>
      <c r="L106" s="81">
        <f t="shared" si="42"/>
        <v>808</v>
      </c>
      <c r="M106" s="81">
        <f t="shared" si="42"/>
        <v>407</v>
      </c>
      <c r="N106" s="81">
        <f t="shared" si="42"/>
        <v>629</v>
      </c>
      <c r="O106" s="81">
        <f t="shared" si="42"/>
        <v>691</v>
      </c>
      <c r="P106" s="81">
        <f t="shared" si="42"/>
        <v>719</v>
      </c>
      <c r="Q106" s="81">
        <f t="shared" si="42"/>
        <v>429</v>
      </c>
      <c r="R106" s="81">
        <f t="shared" si="42"/>
        <v>650</v>
      </c>
      <c r="S106" s="81">
        <f t="shared" si="42"/>
        <v>693</v>
      </c>
      <c r="T106" s="81">
        <f t="shared" si="42"/>
        <v>802</v>
      </c>
      <c r="U106" s="81">
        <f t="shared" si="42"/>
        <v>369</v>
      </c>
      <c r="V106" s="81">
        <f t="shared" si="42"/>
        <v>573</v>
      </c>
      <c r="W106" s="81">
        <f t="shared" si="42"/>
        <v>645</v>
      </c>
      <c r="X106" s="81">
        <f t="shared" si="42"/>
        <v>783</v>
      </c>
      <c r="Y106" s="81">
        <f t="shared" si="42"/>
        <v>363</v>
      </c>
      <c r="Z106" s="81">
        <f t="shared" si="42"/>
        <v>588</v>
      </c>
      <c r="AA106" s="81">
        <f t="shared" si="42"/>
        <v>669</v>
      </c>
      <c r="AB106" s="81">
        <f t="shared" si="42"/>
        <v>767</v>
      </c>
      <c r="AC106" s="81">
        <f t="shared" si="42"/>
        <v>419</v>
      </c>
      <c r="AD106" s="81">
        <f t="shared" si="42"/>
        <v>638</v>
      </c>
      <c r="AE106" s="81">
        <f t="shared" si="42"/>
        <v>700</v>
      </c>
      <c r="AF106" s="81">
        <f t="shared" si="42"/>
        <v>716</v>
      </c>
      <c r="AG106" s="81">
        <f t="shared" si="42"/>
        <v>511</v>
      </c>
      <c r="AH106" s="81">
        <f t="shared" si="42"/>
        <v>738</v>
      </c>
      <c r="AI106" s="67">
        <f t="shared" si="42"/>
        <v>774</v>
      </c>
      <c r="AJ106" s="67">
        <f t="shared" si="42"/>
        <v>858</v>
      </c>
      <c r="AK106" s="67">
        <f t="shared" si="42"/>
        <v>261</v>
      </c>
      <c r="AL106" s="67">
        <f t="shared" si="42"/>
        <v>518</v>
      </c>
      <c r="AM106" s="67">
        <f t="shared" si="42"/>
        <v>583</v>
      </c>
      <c r="AN106" s="67">
        <f t="shared" si="42"/>
        <v>688</v>
      </c>
      <c r="AO106" s="67">
        <f t="shared" si="42"/>
        <v>257</v>
      </c>
      <c r="AP106" s="67">
        <f t="shared" si="42"/>
        <v>503</v>
      </c>
      <c r="AQ106" s="67">
        <f t="shared" si="42"/>
        <v>577</v>
      </c>
      <c r="AR106" s="67">
        <f>SUM(AR101:AR105)</f>
        <v>630</v>
      </c>
      <c r="AS106" s="67">
        <f>SUM(AS101:AS105)</f>
        <v>364</v>
      </c>
      <c r="AT106" s="67">
        <f>SUM(AT101:AT105)</f>
        <v>624</v>
      </c>
      <c r="AU106" s="82">
        <v>683</v>
      </c>
      <c r="AV106" s="67">
        <f>SUM(AV101:AV105)</f>
        <v>733</v>
      </c>
      <c r="AW106" s="67">
        <f>SUM(AW101:AW105)</f>
        <v>317</v>
      </c>
      <c r="AX106" s="67">
        <f>SUM(AX101:AX105)</f>
        <v>492</v>
      </c>
      <c r="AY106" s="67">
        <v>560</v>
      </c>
      <c r="AZ106" s="67">
        <v>687</v>
      </c>
      <c r="BA106" s="67">
        <f t="shared" si="39"/>
        <v>264</v>
      </c>
      <c r="BB106" s="67">
        <v>444</v>
      </c>
      <c r="BC106" s="67">
        <v>507</v>
      </c>
      <c r="BD106" s="67">
        <v>625</v>
      </c>
      <c r="BE106" s="67">
        <f t="shared" si="40"/>
        <v>199</v>
      </c>
      <c r="BF106" s="67">
        <v>387</v>
      </c>
      <c r="BG106" s="67">
        <v>524</v>
      </c>
      <c r="BH106" s="67">
        <v>604</v>
      </c>
      <c r="BI106" s="67">
        <f t="shared" si="41"/>
        <v>305</v>
      </c>
      <c r="BJ106" s="67">
        <v>506</v>
      </c>
    </row>
    <row r="107" spans="1:62" ht="14.1" customHeight="1" outlineLevel="1" x14ac:dyDescent="0.2">
      <c r="A107" s="56"/>
      <c r="B107" s="52" t="s">
        <v>55</v>
      </c>
      <c r="C107" s="25">
        <v>17</v>
      </c>
      <c r="D107" s="25">
        <v>33</v>
      </c>
      <c r="E107" s="3">
        <v>14</v>
      </c>
      <c r="F107" s="3">
        <v>42</v>
      </c>
      <c r="G107" s="3">
        <v>149</v>
      </c>
      <c r="H107" s="3">
        <v>202</v>
      </c>
      <c r="I107" s="3">
        <v>29</v>
      </c>
      <c r="J107" s="3">
        <v>53</v>
      </c>
      <c r="K107" s="3">
        <v>141</v>
      </c>
      <c r="L107" s="3">
        <v>198</v>
      </c>
      <c r="M107" s="3">
        <v>20</v>
      </c>
      <c r="N107" s="3">
        <v>40</v>
      </c>
      <c r="O107" s="3">
        <v>99</v>
      </c>
      <c r="P107" s="3">
        <v>140</v>
      </c>
      <c r="Q107" s="3">
        <v>21</v>
      </c>
      <c r="R107" s="3">
        <v>40</v>
      </c>
      <c r="S107" s="3">
        <v>89</v>
      </c>
      <c r="T107" s="3">
        <v>139</v>
      </c>
      <c r="U107" s="3">
        <v>23</v>
      </c>
      <c r="V107" s="3">
        <v>39</v>
      </c>
      <c r="W107" s="3">
        <v>99</v>
      </c>
      <c r="X107" s="3">
        <v>154</v>
      </c>
      <c r="Y107" s="3">
        <v>21</v>
      </c>
      <c r="Z107" s="3">
        <v>46</v>
      </c>
      <c r="AA107" s="3">
        <v>107</v>
      </c>
      <c r="AB107" s="3">
        <v>172</v>
      </c>
      <c r="AC107" s="3">
        <v>31</v>
      </c>
      <c r="AD107" s="3">
        <v>55</v>
      </c>
      <c r="AE107" s="3">
        <v>92</v>
      </c>
      <c r="AF107" s="3">
        <v>118</v>
      </c>
      <c r="AG107" s="3">
        <v>32</v>
      </c>
      <c r="AH107" s="3">
        <v>48</v>
      </c>
      <c r="AI107" s="3">
        <v>136</v>
      </c>
      <c r="AJ107" s="3">
        <v>215</v>
      </c>
      <c r="AK107" s="3">
        <v>42</v>
      </c>
      <c r="AL107" s="3">
        <v>54</v>
      </c>
      <c r="AM107" s="3">
        <v>153</v>
      </c>
      <c r="AN107" s="3">
        <v>208</v>
      </c>
      <c r="AO107" s="3">
        <v>54</v>
      </c>
      <c r="AP107" s="3">
        <v>86</v>
      </c>
      <c r="AQ107" s="3">
        <v>122</v>
      </c>
      <c r="AR107" s="3">
        <v>142</v>
      </c>
      <c r="AS107" s="59">
        <v>29</v>
      </c>
      <c r="AT107" s="59">
        <v>55</v>
      </c>
      <c r="AU107" s="59">
        <v>108</v>
      </c>
      <c r="AV107" s="3">
        <v>202</v>
      </c>
      <c r="AW107" s="3">
        <v>53</v>
      </c>
      <c r="AX107" s="3">
        <v>93</v>
      </c>
      <c r="AY107" s="3">
        <v>169</v>
      </c>
      <c r="AZ107" s="3">
        <v>242</v>
      </c>
      <c r="BA107" s="3">
        <f t="shared" si="39"/>
        <v>57</v>
      </c>
      <c r="BB107" s="3">
        <v>89</v>
      </c>
      <c r="BC107" s="3">
        <v>111</v>
      </c>
      <c r="BD107" s="3">
        <v>125</v>
      </c>
      <c r="BE107" s="3">
        <f t="shared" si="40"/>
        <v>18</v>
      </c>
      <c r="BF107" s="3">
        <v>61</v>
      </c>
      <c r="BG107" s="3">
        <v>120</v>
      </c>
      <c r="BH107" s="3">
        <v>192</v>
      </c>
      <c r="BI107" s="3">
        <f t="shared" si="41"/>
        <v>43</v>
      </c>
      <c r="BJ107" s="3">
        <v>89</v>
      </c>
    </row>
    <row r="108" spans="1:62" ht="14.1" customHeight="1" outlineLevel="1" x14ac:dyDescent="0.2">
      <c r="A108" s="56"/>
      <c r="B108" s="52" t="s">
        <v>56</v>
      </c>
      <c r="C108" s="25">
        <v>368</v>
      </c>
      <c r="D108" s="25">
        <v>544</v>
      </c>
      <c r="E108" s="3">
        <v>83</v>
      </c>
      <c r="F108" s="3">
        <v>176</v>
      </c>
      <c r="G108" s="3">
        <v>383</v>
      </c>
      <c r="H108" s="3">
        <v>524</v>
      </c>
      <c r="I108" s="3">
        <v>179</v>
      </c>
      <c r="J108" s="3">
        <v>279</v>
      </c>
      <c r="K108" s="3">
        <v>471</v>
      </c>
      <c r="L108" s="3">
        <v>697</v>
      </c>
      <c r="M108" s="3">
        <v>160</v>
      </c>
      <c r="N108" s="3">
        <v>250</v>
      </c>
      <c r="O108" s="3">
        <v>412</v>
      </c>
      <c r="P108" s="3">
        <v>609</v>
      </c>
      <c r="Q108" s="3">
        <v>141</v>
      </c>
      <c r="R108" s="3">
        <v>268</v>
      </c>
      <c r="S108" s="3">
        <v>442</v>
      </c>
      <c r="T108" s="3">
        <v>668</v>
      </c>
      <c r="U108" s="3">
        <v>188</v>
      </c>
      <c r="V108" s="3">
        <v>283</v>
      </c>
      <c r="W108" s="3">
        <v>434</v>
      </c>
      <c r="X108" s="3">
        <v>673</v>
      </c>
      <c r="Y108" s="3">
        <v>204</v>
      </c>
      <c r="Z108" s="3">
        <v>301</v>
      </c>
      <c r="AA108" s="3">
        <v>455</v>
      </c>
      <c r="AB108" s="3">
        <v>745</v>
      </c>
      <c r="AC108" s="3">
        <v>184</v>
      </c>
      <c r="AD108" s="3">
        <v>316</v>
      </c>
      <c r="AE108" s="3">
        <v>437</v>
      </c>
      <c r="AF108" s="3">
        <v>665</v>
      </c>
      <c r="AG108" s="3">
        <v>214</v>
      </c>
      <c r="AH108" s="3">
        <v>318</v>
      </c>
      <c r="AI108" s="3">
        <v>436</v>
      </c>
      <c r="AJ108" s="3">
        <v>674</v>
      </c>
      <c r="AK108" s="3">
        <v>260</v>
      </c>
      <c r="AL108" s="3">
        <v>375</v>
      </c>
      <c r="AM108" s="3">
        <v>532</v>
      </c>
      <c r="AN108" s="3">
        <v>779</v>
      </c>
      <c r="AO108" s="3">
        <v>276</v>
      </c>
      <c r="AP108" s="3">
        <v>389</v>
      </c>
      <c r="AQ108" s="59">
        <v>499</v>
      </c>
      <c r="AR108" s="59">
        <v>708</v>
      </c>
      <c r="AS108" s="59">
        <v>258</v>
      </c>
      <c r="AT108" s="59">
        <v>423</v>
      </c>
      <c r="AU108" s="59">
        <v>544</v>
      </c>
      <c r="AV108" s="3">
        <v>816</v>
      </c>
      <c r="AW108" s="3">
        <v>231</v>
      </c>
      <c r="AX108" s="3">
        <v>326</v>
      </c>
      <c r="AY108" s="3">
        <v>535</v>
      </c>
      <c r="AZ108" s="3">
        <v>739</v>
      </c>
      <c r="BA108" s="3">
        <v>212</v>
      </c>
      <c r="BB108" s="3">
        <v>369</v>
      </c>
      <c r="BC108" s="3">
        <v>511</v>
      </c>
      <c r="BD108" s="3">
        <v>786</v>
      </c>
      <c r="BE108" s="3">
        <v>144</v>
      </c>
      <c r="BF108" s="3">
        <v>240</v>
      </c>
      <c r="BG108" s="3">
        <v>336</v>
      </c>
      <c r="BH108" s="3">
        <v>555</v>
      </c>
      <c r="BI108" s="3">
        <v>192</v>
      </c>
      <c r="BJ108" s="3">
        <v>349</v>
      </c>
    </row>
    <row r="109" spans="1:62" ht="14.1" customHeight="1" outlineLevel="1" x14ac:dyDescent="0.2">
      <c r="A109" s="56"/>
      <c r="B109" s="78" t="s">
        <v>210</v>
      </c>
      <c r="C109" s="81">
        <f t="shared" ref="C109:AS109" si="43">SUM(C107:C108)</f>
        <v>385</v>
      </c>
      <c r="D109" s="81">
        <f t="shared" si="43"/>
        <v>577</v>
      </c>
      <c r="E109" s="81">
        <f t="shared" si="43"/>
        <v>97</v>
      </c>
      <c r="F109" s="81">
        <f t="shared" si="43"/>
        <v>218</v>
      </c>
      <c r="G109" s="81">
        <f t="shared" si="43"/>
        <v>532</v>
      </c>
      <c r="H109" s="81">
        <f t="shared" si="43"/>
        <v>726</v>
      </c>
      <c r="I109" s="81">
        <f t="shared" si="43"/>
        <v>208</v>
      </c>
      <c r="J109" s="81">
        <f t="shared" si="43"/>
        <v>332</v>
      </c>
      <c r="K109" s="81">
        <f t="shared" si="43"/>
        <v>612</v>
      </c>
      <c r="L109" s="81">
        <f t="shared" si="43"/>
        <v>895</v>
      </c>
      <c r="M109" s="81">
        <f t="shared" si="43"/>
        <v>180</v>
      </c>
      <c r="N109" s="81">
        <f t="shared" si="43"/>
        <v>290</v>
      </c>
      <c r="O109" s="81">
        <f t="shared" si="43"/>
        <v>511</v>
      </c>
      <c r="P109" s="81">
        <f t="shared" si="43"/>
        <v>749</v>
      </c>
      <c r="Q109" s="81">
        <f t="shared" si="43"/>
        <v>162</v>
      </c>
      <c r="R109" s="81">
        <f t="shared" si="43"/>
        <v>308</v>
      </c>
      <c r="S109" s="81">
        <f t="shared" si="43"/>
        <v>531</v>
      </c>
      <c r="T109" s="81">
        <f t="shared" si="43"/>
        <v>807</v>
      </c>
      <c r="U109" s="81">
        <f t="shared" si="43"/>
        <v>211</v>
      </c>
      <c r="V109" s="81">
        <f t="shared" si="43"/>
        <v>322</v>
      </c>
      <c r="W109" s="81">
        <f t="shared" si="43"/>
        <v>533</v>
      </c>
      <c r="X109" s="81">
        <f t="shared" si="43"/>
        <v>827</v>
      </c>
      <c r="Y109" s="81">
        <f t="shared" si="43"/>
        <v>225</v>
      </c>
      <c r="Z109" s="81">
        <f t="shared" si="43"/>
        <v>347</v>
      </c>
      <c r="AA109" s="81">
        <f t="shared" si="43"/>
        <v>562</v>
      </c>
      <c r="AB109" s="81">
        <f t="shared" si="43"/>
        <v>917</v>
      </c>
      <c r="AC109" s="81">
        <f t="shared" si="43"/>
        <v>215</v>
      </c>
      <c r="AD109" s="81">
        <f t="shared" si="43"/>
        <v>371</v>
      </c>
      <c r="AE109" s="81">
        <f t="shared" si="43"/>
        <v>529</v>
      </c>
      <c r="AF109" s="81">
        <f t="shared" si="43"/>
        <v>783</v>
      </c>
      <c r="AG109" s="81">
        <f t="shared" si="43"/>
        <v>246</v>
      </c>
      <c r="AH109" s="81">
        <f t="shared" si="43"/>
        <v>366</v>
      </c>
      <c r="AI109" s="67">
        <f t="shared" si="43"/>
        <v>572</v>
      </c>
      <c r="AJ109" s="67">
        <f t="shared" si="43"/>
        <v>889</v>
      </c>
      <c r="AK109" s="67">
        <f t="shared" si="43"/>
        <v>302</v>
      </c>
      <c r="AL109" s="67">
        <f t="shared" si="43"/>
        <v>429</v>
      </c>
      <c r="AM109" s="67">
        <f t="shared" si="43"/>
        <v>685</v>
      </c>
      <c r="AN109" s="67">
        <f t="shared" si="43"/>
        <v>987</v>
      </c>
      <c r="AO109" s="67">
        <f t="shared" si="43"/>
        <v>330</v>
      </c>
      <c r="AP109" s="67">
        <f t="shared" si="43"/>
        <v>475</v>
      </c>
      <c r="AQ109" s="67">
        <f t="shared" si="43"/>
        <v>621</v>
      </c>
      <c r="AR109" s="67">
        <f t="shared" si="43"/>
        <v>850</v>
      </c>
      <c r="AS109" s="67">
        <f t="shared" si="43"/>
        <v>287</v>
      </c>
      <c r="AT109" s="67">
        <f>SUM(AT107:AT108)</f>
        <v>478</v>
      </c>
      <c r="AU109" s="82">
        <v>651</v>
      </c>
      <c r="AV109" s="67">
        <f>SUM(AV107:AV108)</f>
        <v>1018</v>
      </c>
      <c r="AW109" s="67">
        <f>SUM(AW107:AW108)</f>
        <v>284</v>
      </c>
      <c r="AX109" s="67">
        <f>SUM(AX107:AX108)</f>
        <v>419</v>
      </c>
      <c r="AY109" s="67">
        <v>704</v>
      </c>
      <c r="AZ109" s="67">
        <v>981</v>
      </c>
      <c r="BA109" s="67">
        <f>+BA44</f>
        <v>269</v>
      </c>
      <c r="BB109" s="67">
        <v>458</v>
      </c>
      <c r="BC109" s="67">
        <v>622</v>
      </c>
      <c r="BD109" s="67">
        <v>911</v>
      </c>
      <c r="BE109" s="67">
        <f>+BE44</f>
        <v>162</v>
      </c>
      <c r="BF109" s="67">
        <v>301</v>
      </c>
      <c r="BG109" s="67">
        <v>456</v>
      </c>
      <c r="BH109" s="67">
        <v>747</v>
      </c>
      <c r="BI109" s="67">
        <f>+BI44</f>
        <v>235</v>
      </c>
      <c r="BJ109" s="67">
        <v>438</v>
      </c>
    </row>
    <row r="110" spans="1:62" ht="14.1" customHeight="1" outlineLevel="1" x14ac:dyDescent="0.2">
      <c r="A110" s="56"/>
      <c r="B110" s="52" t="s">
        <v>190</v>
      </c>
      <c r="C110" s="25"/>
      <c r="D110" s="25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59">
        <v>3</v>
      </c>
      <c r="AT110" s="59">
        <v>5</v>
      </c>
      <c r="AU110" s="59">
        <v>6</v>
      </c>
      <c r="AV110" s="3">
        <v>16</v>
      </c>
      <c r="AW110" s="3">
        <v>10</v>
      </c>
      <c r="AX110" s="3">
        <v>13</v>
      </c>
      <c r="AY110" s="3">
        <v>19</v>
      </c>
      <c r="AZ110" s="3">
        <v>29</v>
      </c>
      <c r="BA110" s="3">
        <f>+BA45</f>
        <v>21</v>
      </c>
      <c r="BB110" s="3">
        <v>32</v>
      </c>
      <c r="BC110" s="3">
        <v>49</v>
      </c>
      <c r="BD110" s="3">
        <v>63</v>
      </c>
      <c r="BE110" s="3">
        <f>+BE45</f>
        <v>3</v>
      </c>
      <c r="BF110" s="3">
        <v>10</v>
      </c>
      <c r="BG110" s="3">
        <v>19</v>
      </c>
      <c r="BH110" s="3">
        <v>24</v>
      </c>
      <c r="BI110" s="3">
        <f>+BI45</f>
        <v>10</v>
      </c>
      <c r="BJ110" s="3">
        <v>23</v>
      </c>
    </row>
    <row r="111" spans="1:62" ht="14.1" customHeight="1" outlineLevel="1" x14ac:dyDescent="0.2">
      <c r="A111" s="56"/>
      <c r="B111" s="52" t="s">
        <v>204</v>
      </c>
      <c r="C111" s="25"/>
      <c r="D111" s="25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59"/>
      <c r="AR111" s="59"/>
      <c r="AS111" s="59">
        <v>6</v>
      </c>
      <c r="AT111" s="59">
        <v>14</v>
      </c>
      <c r="AU111" s="59">
        <v>20</v>
      </c>
      <c r="AV111" s="3">
        <v>25</v>
      </c>
      <c r="AW111" s="3">
        <v>8</v>
      </c>
      <c r="AX111" s="3">
        <v>16</v>
      </c>
      <c r="AY111" s="3">
        <f>+AY112-AY110</f>
        <v>24</v>
      </c>
      <c r="AZ111" s="3">
        <f t="shared" ref="AZ111:BE111" si="44">+AZ112-AZ110</f>
        <v>29</v>
      </c>
      <c r="BA111" s="3">
        <f t="shared" si="44"/>
        <v>9</v>
      </c>
      <c r="BB111" s="3">
        <f t="shared" si="44"/>
        <v>19</v>
      </c>
      <c r="BC111" s="3">
        <f t="shared" si="44"/>
        <v>24</v>
      </c>
      <c r="BD111" s="3">
        <v>30</v>
      </c>
      <c r="BE111" s="3">
        <f t="shared" si="44"/>
        <v>4</v>
      </c>
      <c r="BF111" s="3">
        <v>13</v>
      </c>
      <c r="BG111" s="3">
        <v>21</v>
      </c>
      <c r="BH111" s="3">
        <v>27</v>
      </c>
      <c r="BI111" s="3">
        <f t="shared" ref="BI111" si="45">+BI112-BI110</f>
        <v>5</v>
      </c>
      <c r="BJ111" s="3">
        <v>14</v>
      </c>
    </row>
    <row r="112" spans="1:62" ht="14.1" customHeight="1" outlineLevel="1" x14ac:dyDescent="0.2">
      <c r="A112" s="56"/>
      <c r="B112" s="79" t="s">
        <v>211</v>
      </c>
      <c r="C112" s="27">
        <v>9</v>
      </c>
      <c r="D112" s="27">
        <v>11</v>
      </c>
      <c r="E112" s="18">
        <v>2</v>
      </c>
      <c r="F112" s="18">
        <v>3</v>
      </c>
      <c r="G112" s="18">
        <v>6</v>
      </c>
      <c r="H112" s="18">
        <v>10</v>
      </c>
      <c r="I112" s="18">
        <v>3</v>
      </c>
      <c r="J112" s="18">
        <v>3</v>
      </c>
      <c r="K112" s="18">
        <v>3</v>
      </c>
      <c r="L112" s="18">
        <v>4</v>
      </c>
      <c r="M112" s="18">
        <v>2</v>
      </c>
      <c r="N112" s="18">
        <v>2</v>
      </c>
      <c r="O112" s="18">
        <v>3</v>
      </c>
      <c r="P112" s="18">
        <v>4</v>
      </c>
      <c r="Q112" s="18">
        <v>1</v>
      </c>
      <c r="R112" s="18">
        <v>1</v>
      </c>
      <c r="S112" s="18">
        <v>2</v>
      </c>
      <c r="T112" s="18">
        <v>3</v>
      </c>
      <c r="U112" s="18">
        <v>2</v>
      </c>
      <c r="V112" s="18">
        <v>2</v>
      </c>
      <c r="W112" s="18">
        <v>4</v>
      </c>
      <c r="X112" s="18">
        <v>5</v>
      </c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61"/>
      <c r="AR112" s="61"/>
      <c r="AS112" s="67">
        <f>SUM(AS110:AS111)</f>
        <v>9</v>
      </c>
      <c r="AT112" s="67">
        <f>SUM(AT110:AT111)</f>
        <v>19</v>
      </c>
      <c r="AU112" s="80">
        <v>26</v>
      </c>
      <c r="AV112" s="84">
        <v>41</v>
      </c>
      <c r="AW112" s="67">
        <f>SUM(AW110:AW111)</f>
        <v>18</v>
      </c>
      <c r="AX112" s="67">
        <f>SUM(AX110:AX111)</f>
        <v>29</v>
      </c>
      <c r="AY112" s="67">
        <v>43</v>
      </c>
      <c r="AZ112" s="67">
        <v>58</v>
      </c>
      <c r="BA112" s="67">
        <f>+BA47</f>
        <v>30</v>
      </c>
      <c r="BB112" s="67">
        <v>51</v>
      </c>
      <c r="BC112" s="67">
        <v>73</v>
      </c>
      <c r="BD112" s="67">
        <v>93</v>
      </c>
      <c r="BE112" s="67">
        <f>+BE47</f>
        <v>7</v>
      </c>
      <c r="BF112" s="67">
        <v>23</v>
      </c>
      <c r="BG112" s="67">
        <v>40</v>
      </c>
      <c r="BH112" s="67">
        <v>51</v>
      </c>
      <c r="BI112" s="67">
        <f>+BI47</f>
        <v>15</v>
      </c>
      <c r="BJ112" s="67">
        <v>37</v>
      </c>
    </row>
    <row r="113" spans="1:62" ht="14.1" customHeight="1" outlineLevel="1" x14ac:dyDescent="0.2">
      <c r="A113" s="56"/>
      <c r="B113" s="6" t="s">
        <v>49</v>
      </c>
      <c r="C113" s="28">
        <v>502</v>
      </c>
      <c r="D113" s="28">
        <v>518</v>
      </c>
      <c r="E113" s="7">
        <f>+E48</f>
        <v>284</v>
      </c>
      <c r="F113" s="28">
        <v>291</v>
      </c>
      <c r="G113" s="28">
        <v>290</v>
      </c>
      <c r="H113" s="28">
        <v>287</v>
      </c>
      <c r="I113" s="7">
        <f>+I48</f>
        <v>308</v>
      </c>
      <c r="J113" s="28">
        <v>301</v>
      </c>
      <c r="K113" s="28">
        <v>321</v>
      </c>
      <c r="L113" s="28">
        <v>339</v>
      </c>
      <c r="M113" s="7">
        <f>+M48</f>
        <v>359</v>
      </c>
      <c r="N113" s="28">
        <v>380</v>
      </c>
      <c r="O113" s="28">
        <v>412</v>
      </c>
      <c r="P113" s="28">
        <v>430</v>
      </c>
      <c r="Q113" s="7">
        <f>+Q48</f>
        <v>392</v>
      </c>
      <c r="R113" s="28">
        <v>409</v>
      </c>
      <c r="S113" s="28">
        <v>423</v>
      </c>
      <c r="T113" s="28">
        <v>429</v>
      </c>
      <c r="U113" s="7">
        <f>+U48</f>
        <v>426</v>
      </c>
      <c r="V113" s="28">
        <v>418</v>
      </c>
      <c r="W113" s="28">
        <v>416</v>
      </c>
      <c r="X113" s="28">
        <v>405</v>
      </c>
      <c r="Y113" s="7">
        <f>+Y48</f>
        <v>359</v>
      </c>
      <c r="Z113" s="28">
        <v>356</v>
      </c>
      <c r="AA113" s="7">
        <v>367</v>
      </c>
      <c r="AB113" s="7">
        <v>377</v>
      </c>
      <c r="AC113" s="7">
        <f>+AC48</f>
        <v>339</v>
      </c>
      <c r="AD113" s="7">
        <v>334</v>
      </c>
      <c r="AE113" s="7">
        <v>340</v>
      </c>
      <c r="AF113" s="7">
        <v>345</v>
      </c>
      <c r="AG113" s="7">
        <f>+AG48</f>
        <v>297</v>
      </c>
      <c r="AH113" s="7">
        <v>294</v>
      </c>
      <c r="AI113" s="7">
        <v>299</v>
      </c>
      <c r="AJ113" s="7">
        <v>297</v>
      </c>
      <c r="AK113" s="7">
        <f>+AK48</f>
        <v>272</v>
      </c>
      <c r="AL113" s="7">
        <v>263</v>
      </c>
      <c r="AM113" s="7">
        <v>275</v>
      </c>
      <c r="AN113" s="7">
        <v>279</v>
      </c>
      <c r="AO113" s="7">
        <f>+AO48</f>
        <v>286</v>
      </c>
      <c r="AP113" s="7">
        <v>281</v>
      </c>
      <c r="AQ113" s="7">
        <v>284</v>
      </c>
      <c r="AR113" s="7">
        <v>294</v>
      </c>
      <c r="AS113" s="7">
        <f>+AS48</f>
        <v>301</v>
      </c>
      <c r="AT113" s="7">
        <v>300</v>
      </c>
      <c r="AU113" s="7">
        <v>304</v>
      </c>
      <c r="AV113" s="7">
        <v>302</v>
      </c>
      <c r="AW113" s="7">
        <f>+AW48</f>
        <v>264</v>
      </c>
      <c r="AX113" s="7">
        <v>262</v>
      </c>
      <c r="AY113" s="7">
        <v>264</v>
      </c>
      <c r="AZ113" s="7">
        <v>266</v>
      </c>
      <c r="BA113" s="7">
        <f>+BA48</f>
        <v>339</v>
      </c>
      <c r="BB113" s="7">
        <v>351</v>
      </c>
      <c r="BC113" s="7">
        <v>375</v>
      </c>
      <c r="BD113" s="7">
        <v>410</v>
      </c>
      <c r="BE113" s="7">
        <f>+BE48</f>
        <v>537</v>
      </c>
      <c r="BF113" s="7">
        <v>579</v>
      </c>
      <c r="BG113" s="7">
        <v>596</v>
      </c>
      <c r="BH113" s="7">
        <v>613</v>
      </c>
      <c r="BI113" s="7">
        <f>+BI48</f>
        <v>506</v>
      </c>
      <c r="BJ113" s="7">
        <v>493</v>
      </c>
    </row>
    <row r="114" spans="1:62" ht="14.1" customHeight="1" outlineLevel="1" x14ac:dyDescent="0.2">
      <c r="A114" s="56"/>
      <c r="B114" s="16" t="s">
        <v>59</v>
      </c>
      <c r="C114" s="21">
        <f t="shared" ref="C114:BI114" si="46">SUM(C118,C121,C123)</f>
        <v>935</v>
      </c>
      <c r="D114" s="21">
        <f t="shared" si="46"/>
        <v>1123</v>
      </c>
      <c r="E114" s="21">
        <f t="shared" si="46"/>
        <v>231</v>
      </c>
      <c r="F114" s="21">
        <f t="shared" si="46"/>
        <v>361</v>
      </c>
      <c r="G114" s="21">
        <f t="shared" si="46"/>
        <v>765</v>
      </c>
      <c r="H114" s="21">
        <f t="shared" si="46"/>
        <v>1110</v>
      </c>
      <c r="I114" s="21">
        <f t="shared" si="46"/>
        <v>363</v>
      </c>
      <c r="J114" s="21">
        <f t="shared" si="46"/>
        <v>674</v>
      </c>
      <c r="K114" s="21">
        <f t="shared" si="46"/>
        <v>1078</v>
      </c>
      <c r="L114" s="21">
        <f t="shared" si="46"/>
        <v>1448</v>
      </c>
      <c r="M114" s="21">
        <f t="shared" si="46"/>
        <v>341</v>
      </c>
      <c r="N114" s="21">
        <f t="shared" si="46"/>
        <v>720</v>
      </c>
      <c r="O114" s="21">
        <f t="shared" si="46"/>
        <v>1077</v>
      </c>
      <c r="P114" s="21">
        <f t="shared" si="46"/>
        <v>1386</v>
      </c>
      <c r="Q114" s="21">
        <f t="shared" si="46"/>
        <v>301</v>
      </c>
      <c r="R114" s="21">
        <f t="shared" si="46"/>
        <v>715</v>
      </c>
      <c r="S114" s="21">
        <f t="shared" si="46"/>
        <v>1086</v>
      </c>
      <c r="T114" s="21">
        <f t="shared" si="46"/>
        <v>1423</v>
      </c>
      <c r="U114" s="21">
        <f t="shared" si="46"/>
        <v>351</v>
      </c>
      <c r="V114" s="21">
        <f t="shared" si="46"/>
        <v>721</v>
      </c>
      <c r="W114" s="21">
        <f t="shared" si="46"/>
        <v>1109</v>
      </c>
      <c r="X114" s="21">
        <f t="shared" si="46"/>
        <v>1409</v>
      </c>
      <c r="Y114" s="21">
        <f t="shared" si="46"/>
        <v>401</v>
      </c>
      <c r="Z114" s="21">
        <f t="shared" si="46"/>
        <v>785</v>
      </c>
      <c r="AA114" s="21">
        <f t="shared" si="46"/>
        <v>1122</v>
      </c>
      <c r="AB114" s="21">
        <f t="shared" si="46"/>
        <v>1488</v>
      </c>
      <c r="AC114" s="21">
        <f t="shared" si="46"/>
        <v>352</v>
      </c>
      <c r="AD114" s="21">
        <f t="shared" si="46"/>
        <v>695</v>
      </c>
      <c r="AE114" s="21">
        <f t="shared" si="46"/>
        <v>1043</v>
      </c>
      <c r="AF114" s="21">
        <f t="shared" si="46"/>
        <v>1373</v>
      </c>
      <c r="AG114" s="21">
        <f t="shared" si="46"/>
        <v>376</v>
      </c>
      <c r="AH114" s="21">
        <f t="shared" si="46"/>
        <v>729</v>
      </c>
      <c r="AI114" s="21">
        <f t="shared" si="46"/>
        <v>968</v>
      </c>
      <c r="AJ114" s="21">
        <f t="shared" si="46"/>
        <v>1297</v>
      </c>
      <c r="AK114" s="21">
        <f t="shared" si="46"/>
        <v>432</v>
      </c>
      <c r="AL114" s="21">
        <f t="shared" si="46"/>
        <v>790</v>
      </c>
      <c r="AM114" s="21">
        <f t="shared" si="46"/>
        <v>1173</v>
      </c>
      <c r="AN114" s="21">
        <f t="shared" si="46"/>
        <v>1576</v>
      </c>
      <c r="AO114" s="21">
        <f t="shared" si="46"/>
        <v>434.79700000000003</v>
      </c>
      <c r="AP114" s="21">
        <f t="shared" si="46"/>
        <v>874.55700000000002</v>
      </c>
      <c r="AQ114" s="21">
        <f t="shared" si="46"/>
        <v>1294.557</v>
      </c>
      <c r="AR114" s="21">
        <f t="shared" si="46"/>
        <v>1604</v>
      </c>
      <c r="AS114" s="21">
        <f t="shared" si="46"/>
        <v>430</v>
      </c>
      <c r="AT114" s="21">
        <f t="shared" si="46"/>
        <v>898</v>
      </c>
      <c r="AU114" s="21">
        <f t="shared" si="46"/>
        <v>1340</v>
      </c>
      <c r="AV114" s="21">
        <f t="shared" si="46"/>
        <v>1679</v>
      </c>
      <c r="AW114" s="21">
        <f t="shared" si="46"/>
        <v>478</v>
      </c>
      <c r="AX114" s="21">
        <f t="shared" si="46"/>
        <v>914</v>
      </c>
      <c r="AY114" s="21">
        <f t="shared" si="46"/>
        <v>1298</v>
      </c>
      <c r="AZ114" s="21">
        <f t="shared" si="46"/>
        <v>1790</v>
      </c>
      <c r="BA114" s="21">
        <f t="shared" si="46"/>
        <v>467</v>
      </c>
      <c r="BB114" s="21">
        <f t="shared" si="46"/>
        <v>870</v>
      </c>
      <c r="BC114" s="21">
        <f t="shared" si="46"/>
        <v>1258</v>
      </c>
      <c r="BD114" s="21">
        <f t="shared" si="46"/>
        <v>1754</v>
      </c>
      <c r="BE114" s="21">
        <f t="shared" si="46"/>
        <v>330</v>
      </c>
      <c r="BF114" s="21">
        <f t="shared" si="46"/>
        <v>644</v>
      </c>
      <c r="BG114" s="21">
        <f t="shared" si="46"/>
        <v>1073</v>
      </c>
      <c r="BH114" s="21">
        <f t="shared" si="46"/>
        <v>1440</v>
      </c>
      <c r="BI114" s="21">
        <f t="shared" si="46"/>
        <v>333</v>
      </c>
      <c r="BJ114" s="21">
        <f>SUM(BJ118,BJ121,BJ123)</f>
        <v>688</v>
      </c>
    </row>
    <row r="115" spans="1:62" ht="14.1" customHeight="1" outlineLevel="1" x14ac:dyDescent="0.2">
      <c r="A115" s="56"/>
      <c r="B115" s="52" t="s">
        <v>50</v>
      </c>
      <c r="C115" s="25">
        <v>250</v>
      </c>
      <c r="D115" s="3">
        <v>327</v>
      </c>
      <c r="E115" s="3">
        <v>111</v>
      </c>
      <c r="F115" s="3">
        <v>122</v>
      </c>
      <c r="G115" s="3">
        <v>208</v>
      </c>
      <c r="H115" s="3">
        <v>310</v>
      </c>
      <c r="I115" s="3">
        <v>99</v>
      </c>
      <c r="J115" s="3">
        <v>145</v>
      </c>
      <c r="K115" s="3">
        <v>226</v>
      </c>
      <c r="L115" s="3">
        <v>337</v>
      </c>
      <c r="M115" s="3">
        <v>95</v>
      </c>
      <c r="N115" s="3">
        <v>156</v>
      </c>
      <c r="O115" s="3">
        <v>241</v>
      </c>
      <c r="P115" s="3">
        <v>343</v>
      </c>
      <c r="Q115" s="3">
        <v>85</v>
      </c>
      <c r="R115" s="3">
        <v>127</v>
      </c>
      <c r="S115" s="3">
        <v>224</v>
      </c>
      <c r="T115" s="3">
        <v>305</v>
      </c>
      <c r="U115" s="3">
        <v>55</v>
      </c>
      <c r="V115" s="3">
        <v>98</v>
      </c>
      <c r="W115" s="3">
        <v>202</v>
      </c>
      <c r="X115" s="3">
        <v>266</v>
      </c>
      <c r="Y115" s="3">
        <v>100</v>
      </c>
      <c r="Z115" s="3">
        <v>122</v>
      </c>
      <c r="AA115" s="3">
        <v>181</v>
      </c>
      <c r="AB115" s="3">
        <v>266</v>
      </c>
      <c r="AC115" s="3">
        <v>91</v>
      </c>
      <c r="AD115" s="3">
        <v>120</v>
      </c>
      <c r="AE115" s="3">
        <v>226</v>
      </c>
      <c r="AF115" s="3">
        <v>256</v>
      </c>
      <c r="AG115" s="3">
        <v>68</v>
      </c>
      <c r="AH115" s="3">
        <v>130</v>
      </c>
      <c r="AI115" s="3">
        <v>139</v>
      </c>
      <c r="AJ115" s="3">
        <v>222</v>
      </c>
      <c r="AK115" s="3">
        <v>160</v>
      </c>
      <c r="AL115" s="3">
        <v>266</v>
      </c>
      <c r="AM115" s="3">
        <v>350</v>
      </c>
      <c r="AN115" s="3">
        <v>490</v>
      </c>
      <c r="AO115" s="3">
        <v>168</v>
      </c>
      <c r="AP115" s="3">
        <v>294</v>
      </c>
      <c r="AQ115" s="3">
        <v>335</v>
      </c>
      <c r="AR115" s="3">
        <v>430</v>
      </c>
      <c r="AS115" s="25">
        <v>112</v>
      </c>
      <c r="AT115" s="25">
        <v>227</v>
      </c>
      <c r="AU115" s="25">
        <v>306</v>
      </c>
      <c r="AV115" s="25">
        <v>383</v>
      </c>
      <c r="AW115" s="25">
        <v>140</v>
      </c>
      <c r="AX115" s="25">
        <v>249</v>
      </c>
      <c r="AY115" s="25">
        <v>313</v>
      </c>
      <c r="AZ115" s="25">
        <v>450</v>
      </c>
      <c r="BA115" s="25">
        <f>+BA50</f>
        <v>149</v>
      </c>
      <c r="BB115" s="25">
        <v>310</v>
      </c>
      <c r="BC115" s="25">
        <v>397</v>
      </c>
      <c r="BD115" s="25">
        <v>579</v>
      </c>
      <c r="BE115" s="25">
        <f>+BE50</f>
        <v>135</v>
      </c>
      <c r="BF115" s="25">
        <v>225</v>
      </c>
      <c r="BG115" s="25">
        <v>369</v>
      </c>
      <c r="BH115" s="25">
        <v>461</v>
      </c>
      <c r="BI115" s="25">
        <f>+BI50</f>
        <v>149</v>
      </c>
      <c r="BJ115" s="25">
        <v>216</v>
      </c>
    </row>
    <row r="116" spans="1:62" ht="14.1" customHeight="1" outlineLevel="1" x14ac:dyDescent="0.2">
      <c r="A116" s="56"/>
      <c r="B116" s="52" t="s">
        <v>52</v>
      </c>
      <c r="C116" s="25">
        <v>138</v>
      </c>
      <c r="D116" s="3">
        <v>174</v>
      </c>
      <c r="E116" s="3">
        <v>50</v>
      </c>
      <c r="F116" s="3">
        <v>53</v>
      </c>
      <c r="G116" s="3">
        <v>83</v>
      </c>
      <c r="H116" s="3">
        <v>132</v>
      </c>
      <c r="I116" s="3">
        <v>62</v>
      </c>
      <c r="J116" s="3">
        <v>124</v>
      </c>
      <c r="K116" s="3">
        <v>140</v>
      </c>
      <c r="L116" s="3">
        <v>194</v>
      </c>
      <c r="M116" s="3">
        <v>69</v>
      </c>
      <c r="N116" s="3">
        <v>166</v>
      </c>
      <c r="O116" s="3">
        <v>193</v>
      </c>
      <c r="P116" s="3">
        <v>253</v>
      </c>
      <c r="Q116" s="3">
        <v>76</v>
      </c>
      <c r="R116" s="3">
        <v>186</v>
      </c>
      <c r="S116" s="3">
        <v>219</v>
      </c>
      <c r="T116" s="3">
        <v>297</v>
      </c>
      <c r="U116" s="3">
        <v>97</v>
      </c>
      <c r="V116" s="3">
        <v>196</v>
      </c>
      <c r="W116" s="3">
        <v>229</v>
      </c>
      <c r="X116" s="3">
        <v>329</v>
      </c>
      <c r="Y116" s="3">
        <v>62</v>
      </c>
      <c r="Z116" s="3">
        <v>175</v>
      </c>
      <c r="AA116" s="3">
        <v>214</v>
      </c>
      <c r="AB116" s="3">
        <v>290</v>
      </c>
      <c r="AC116" s="3">
        <v>67</v>
      </c>
      <c r="AD116" s="3">
        <v>180</v>
      </c>
      <c r="AE116" s="3">
        <v>204</v>
      </c>
      <c r="AF116" s="3">
        <v>323</v>
      </c>
      <c r="AG116" s="3">
        <v>92</v>
      </c>
      <c r="AH116" s="3">
        <v>182</v>
      </c>
      <c r="AI116" s="3">
        <v>182</v>
      </c>
      <c r="AJ116" s="3">
        <v>202</v>
      </c>
      <c r="AK116" s="3">
        <v>7</v>
      </c>
      <c r="AL116" s="3">
        <v>7</v>
      </c>
      <c r="AM116" s="3">
        <v>60</v>
      </c>
      <c r="AN116" s="3">
        <v>85</v>
      </c>
      <c r="AO116" s="3">
        <v>7</v>
      </c>
      <c r="AP116" s="3">
        <v>41</v>
      </c>
      <c r="AQ116" s="3">
        <v>135</v>
      </c>
      <c r="AR116" s="3">
        <v>168</v>
      </c>
      <c r="AS116" s="25">
        <v>45</v>
      </c>
      <c r="AT116" s="25">
        <v>92</v>
      </c>
      <c r="AU116" s="25">
        <v>157</v>
      </c>
      <c r="AV116" s="25">
        <v>207</v>
      </c>
      <c r="AW116" s="25">
        <v>31</v>
      </c>
      <c r="AX116" s="25">
        <v>80</v>
      </c>
      <c r="AY116" s="25">
        <v>121</v>
      </c>
      <c r="AZ116" s="25">
        <v>153</v>
      </c>
      <c r="BA116" s="25">
        <f>+BA51</f>
        <v>21</v>
      </c>
      <c r="BB116" s="25">
        <v>27</v>
      </c>
      <c r="BC116" s="25">
        <v>55</v>
      </c>
      <c r="BD116" s="25">
        <v>55</v>
      </c>
      <c r="BE116" s="25">
        <f>+BE51</f>
        <v>0</v>
      </c>
      <c r="BF116" s="25">
        <v>8</v>
      </c>
      <c r="BG116" s="25">
        <v>16</v>
      </c>
      <c r="BH116" s="25">
        <v>30</v>
      </c>
      <c r="BI116" s="25">
        <f>+BI51</f>
        <v>1</v>
      </c>
      <c r="BJ116" s="25">
        <v>15</v>
      </c>
    </row>
    <row r="117" spans="1:62" ht="14.1" customHeight="1" outlineLevel="1" x14ac:dyDescent="0.2">
      <c r="A117" s="56"/>
      <c r="B117" s="52" t="s">
        <v>62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8</v>
      </c>
      <c r="AM117" s="3">
        <v>8</v>
      </c>
      <c r="AN117" s="3">
        <v>14</v>
      </c>
      <c r="AO117" s="3">
        <v>9.7970000000000006</v>
      </c>
      <c r="AP117" s="3">
        <v>15.557</v>
      </c>
      <c r="AQ117" s="3">
        <v>15.557</v>
      </c>
      <c r="AR117" s="3">
        <v>19</v>
      </c>
      <c r="AS117" s="3">
        <v>4</v>
      </c>
      <c r="AT117" s="3">
        <v>8</v>
      </c>
      <c r="AU117" s="3">
        <v>8</v>
      </c>
      <c r="AV117" s="25">
        <v>10</v>
      </c>
      <c r="AW117" s="25">
        <v>11</v>
      </c>
      <c r="AX117" s="25">
        <v>13</v>
      </c>
      <c r="AY117" s="25">
        <v>13</v>
      </c>
      <c r="AZ117" s="25">
        <v>17</v>
      </c>
      <c r="BA117" s="25">
        <f>+BA52</f>
        <v>5</v>
      </c>
      <c r="BB117" s="25">
        <v>7</v>
      </c>
      <c r="BC117" s="25">
        <v>7</v>
      </c>
      <c r="BD117" s="25">
        <v>7</v>
      </c>
      <c r="BE117" s="25">
        <f>+BE52</f>
        <v>2</v>
      </c>
      <c r="BF117" s="25">
        <v>3</v>
      </c>
      <c r="BG117" s="25">
        <v>8</v>
      </c>
      <c r="BH117" s="25">
        <v>8</v>
      </c>
      <c r="BI117" s="25">
        <f>+BI52</f>
        <v>0</v>
      </c>
      <c r="BJ117" s="25">
        <v>2</v>
      </c>
    </row>
    <row r="118" spans="1:62" ht="14.1" customHeight="1" outlineLevel="1" x14ac:dyDescent="0.2">
      <c r="A118" s="56"/>
      <c r="B118" s="78" t="s">
        <v>209</v>
      </c>
      <c r="C118" s="81">
        <f t="shared" ref="C118:AW118" si="47">SUM(C115:C117)</f>
        <v>388</v>
      </c>
      <c r="D118" s="81">
        <f t="shared" si="47"/>
        <v>501</v>
      </c>
      <c r="E118" s="81">
        <f t="shared" si="47"/>
        <v>161</v>
      </c>
      <c r="F118" s="81">
        <f t="shared" si="47"/>
        <v>175</v>
      </c>
      <c r="G118" s="81">
        <f t="shared" si="47"/>
        <v>291</v>
      </c>
      <c r="H118" s="81">
        <f t="shared" si="47"/>
        <v>442</v>
      </c>
      <c r="I118" s="81">
        <f t="shared" si="47"/>
        <v>161</v>
      </c>
      <c r="J118" s="81">
        <f t="shared" si="47"/>
        <v>269</v>
      </c>
      <c r="K118" s="81">
        <f t="shared" si="47"/>
        <v>366</v>
      </c>
      <c r="L118" s="81">
        <f t="shared" si="47"/>
        <v>531</v>
      </c>
      <c r="M118" s="81">
        <f t="shared" si="47"/>
        <v>164</v>
      </c>
      <c r="N118" s="81">
        <f t="shared" si="47"/>
        <v>322</v>
      </c>
      <c r="O118" s="81">
        <f t="shared" si="47"/>
        <v>434</v>
      </c>
      <c r="P118" s="81">
        <f t="shared" si="47"/>
        <v>596</v>
      </c>
      <c r="Q118" s="81">
        <f t="shared" si="47"/>
        <v>161</v>
      </c>
      <c r="R118" s="81">
        <f t="shared" si="47"/>
        <v>313</v>
      </c>
      <c r="S118" s="81">
        <f t="shared" si="47"/>
        <v>443</v>
      </c>
      <c r="T118" s="81">
        <f t="shared" si="47"/>
        <v>602</v>
      </c>
      <c r="U118" s="81">
        <f t="shared" si="47"/>
        <v>152</v>
      </c>
      <c r="V118" s="81">
        <f t="shared" si="47"/>
        <v>294</v>
      </c>
      <c r="W118" s="81">
        <f t="shared" si="47"/>
        <v>431</v>
      </c>
      <c r="X118" s="81">
        <f t="shared" si="47"/>
        <v>595</v>
      </c>
      <c r="Y118" s="81">
        <f t="shared" si="47"/>
        <v>162</v>
      </c>
      <c r="Z118" s="81">
        <f t="shared" si="47"/>
        <v>297</v>
      </c>
      <c r="AA118" s="81">
        <f t="shared" si="47"/>
        <v>395</v>
      </c>
      <c r="AB118" s="81">
        <f t="shared" si="47"/>
        <v>556</v>
      </c>
      <c r="AC118" s="81">
        <f t="shared" si="47"/>
        <v>158</v>
      </c>
      <c r="AD118" s="81">
        <f t="shared" si="47"/>
        <v>300</v>
      </c>
      <c r="AE118" s="68">
        <f t="shared" si="47"/>
        <v>430</v>
      </c>
      <c r="AF118" s="68">
        <f t="shared" si="47"/>
        <v>579</v>
      </c>
      <c r="AG118" s="68">
        <f t="shared" si="47"/>
        <v>160</v>
      </c>
      <c r="AH118" s="68">
        <f t="shared" si="47"/>
        <v>312</v>
      </c>
      <c r="AI118" s="68">
        <f t="shared" si="47"/>
        <v>321</v>
      </c>
      <c r="AJ118" s="68">
        <f t="shared" si="47"/>
        <v>424</v>
      </c>
      <c r="AK118" s="68">
        <f t="shared" si="47"/>
        <v>167</v>
      </c>
      <c r="AL118" s="68">
        <f t="shared" si="47"/>
        <v>281</v>
      </c>
      <c r="AM118" s="68">
        <f t="shared" si="47"/>
        <v>418</v>
      </c>
      <c r="AN118" s="68">
        <f t="shared" si="47"/>
        <v>589</v>
      </c>
      <c r="AO118" s="68">
        <f t="shared" si="47"/>
        <v>184.797</v>
      </c>
      <c r="AP118" s="68">
        <f t="shared" si="47"/>
        <v>350.55700000000002</v>
      </c>
      <c r="AQ118" s="68">
        <f t="shared" si="47"/>
        <v>485.55700000000002</v>
      </c>
      <c r="AR118" s="68">
        <f t="shared" si="47"/>
        <v>617</v>
      </c>
      <c r="AS118" s="68">
        <f t="shared" si="47"/>
        <v>161</v>
      </c>
      <c r="AT118" s="68">
        <f t="shared" si="47"/>
        <v>327</v>
      </c>
      <c r="AU118" s="68">
        <f t="shared" si="47"/>
        <v>471</v>
      </c>
      <c r="AV118" s="68">
        <f t="shared" si="47"/>
        <v>600</v>
      </c>
      <c r="AW118" s="68">
        <f t="shared" si="47"/>
        <v>182</v>
      </c>
      <c r="AX118" s="68">
        <f>SUM(AX115:AX117)</f>
        <v>342</v>
      </c>
      <c r="AY118" s="68">
        <v>448</v>
      </c>
      <c r="AZ118" s="68">
        <v>620</v>
      </c>
      <c r="BA118" s="68">
        <f>+BA53</f>
        <v>175</v>
      </c>
      <c r="BB118" s="68">
        <v>344</v>
      </c>
      <c r="BC118" s="68">
        <v>458</v>
      </c>
      <c r="BD118" s="68">
        <v>641</v>
      </c>
      <c r="BE118" s="68">
        <f>+BE53</f>
        <v>137</v>
      </c>
      <c r="BF118" s="68">
        <v>236</v>
      </c>
      <c r="BG118" s="68">
        <v>392</v>
      </c>
      <c r="BH118" s="68">
        <v>499</v>
      </c>
      <c r="BI118" s="68">
        <f>+BI53</f>
        <v>150</v>
      </c>
      <c r="BJ118" s="68">
        <v>233</v>
      </c>
    </row>
    <row r="119" spans="1:62" ht="14.1" customHeight="1" outlineLevel="1" x14ac:dyDescent="0.2">
      <c r="A119" s="56"/>
      <c r="B119" s="52" t="s">
        <v>55</v>
      </c>
      <c r="C119" s="25">
        <v>32</v>
      </c>
      <c r="D119" s="3">
        <v>37</v>
      </c>
      <c r="E119" s="3">
        <v>11</v>
      </c>
      <c r="F119" s="3">
        <v>40</v>
      </c>
      <c r="G119" s="3">
        <v>133</v>
      </c>
      <c r="H119" s="3">
        <v>191</v>
      </c>
      <c r="I119" s="3">
        <v>47</v>
      </c>
      <c r="J119" s="3">
        <v>101</v>
      </c>
      <c r="K119" s="3">
        <v>189</v>
      </c>
      <c r="L119" s="3">
        <v>230</v>
      </c>
      <c r="M119" s="3">
        <v>25</v>
      </c>
      <c r="N119" s="3">
        <v>74</v>
      </c>
      <c r="O119" s="3">
        <v>130</v>
      </c>
      <c r="P119" s="3">
        <v>147</v>
      </c>
      <c r="Q119" s="3">
        <v>27</v>
      </c>
      <c r="R119" s="3">
        <v>78</v>
      </c>
      <c r="S119" s="3">
        <v>126</v>
      </c>
      <c r="T119" s="3">
        <v>156</v>
      </c>
      <c r="U119" s="3">
        <v>24</v>
      </c>
      <c r="V119" s="3">
        <v>66</v>
      </c>
      <c r="W119" s="3">
        <v>131</v>
      </c>
      <c r="X119" s="3">
        <v>158</v>
      </c>
      <c r="Y119" s="3">
        <v>24</v>
      </c>
      <c r="Z119" s="3">
        <v>71</v>
      </c>
      <c r="AA119" s="3">
        <v>139</v>
      </c>
      <c r="AB119" s="3">
        <v>157</v>
      </c>
      <c r="AC119" s="3">
        <v>16</v>
      </c>
      <c r="AD119" s="3">
        <v>57</v>
      </c>
      <c r="AE119" s="3">
        <v>87</v>
      </c>
      <c r="AF119" s="3">
        <v>115</v>
      </c>
      <c r="AG119" s="3">
        <v>23</v>
      </c>
      <c r="AH119" s="3">
        <v>56</v>
      </c>
      <c r="AI119" s="3">
        <v>115</v>
      </c>
      <c r="AJ119" s="3">
        <v>158</v>
      </c>
      <c r="AK119" s="3">
        <v>32</v>
      </c>
      <c r="AL119" s="3">
        <v>85</v>
      </c>
      <c r="AM119" s="3">
        <v>162</v>
      </c>
      <c r="AN119" s="3">
        <v>209</v>
      </c>
      <c r="AO119" s="3">
        <v>22</v>
      </c>
      <c r="AP119" s="3">
        <v>82</v>
      </c>
      <c r="AQ119" s="3">
        <v>172</v>
      </c>
      <c r="AR119" s="3">
        <v>232</v>
      </c>
      <c r="AS119" s="25">
        <v>27</v>
      </c>
      <c r="AT119" s="25">
        <v>104</v>
      </c>
      <c r="AU119" s="25">
        <v>169</v>
      </c>
      <c r="AV119" s="25">
        <v>210</v>
      </c>
      <c r="AW119" s="25">
        <v>44</v>
      </c>
      <c r="AX119" s="25">
        <v>123</v>
      </c>
      <c r="AY119" s="25">
        <v>210</v>
      </c>
      <c r="AZ119" s="25">
        <v>298</v>
      </c>
      <c r="BA119" s="25">
        <f>+BA54</f>
        <v>75</v>
      </c>
      <c r="BB119" s="25">
        <v>129</v>
      </c>
      <c r="BC119" s="25">
        <v>205</v>
      </c>
      <c r="BD119" s="25">
        <v>215</v>
      </c>
      <c r="BE119" s="25">
        <f>+BE54</f>
        <v>19</v>
      </c>
      <c r="BF119" s="25">
        <v>66</v>
      </c>
      <c r="BG119" s="25">
        <v>125</v>
      </c>
      <c r="BH119" s="25">
        <v>211</v>
      </c>
      <c r="BI119" s="25">
        <f>+BI54</f>
        <v>48</v>
      </c>
      <c r="BJ119" s="25">
        <v>115</v>
      </c>
    </row>
    <row r="120" spans="1:62" ht="14.1" customHeight="1" outlineLevel="1" x14ac:dyDescent="0.2">
      <c r="A120" s="56"/>
      <c r="B120" s="52" t="s">
        <v>56</v>
      </c>
      <c r="C120" s="25">
        <v>515</v>
      </c>
      <c r="D120" s="3">
        <v>585</v>
      </c>
      <c r="E120" s="3">
        <v>59</v>
      </c>
      <c r="F120" s="3">
        <v>146</v>
      </c>
      <c r="G120" s="3">
        <v>341</v>
      </c>
      <c r="H120" s="3">
        <v>477</v>
      </c>
      <c r="I120" s="3">
        <v>155</v>
      </c>
      <c r="J120" s="3">
        <v>304</v>
      </c>
      <c r="K120" s="3">
        <v>523</v>
      </c>
      <c r="L120" s="3">
        <v>687</v>
      </c>
      <c r="M120" s="3">
        <v>152</v>
      </c>
      <c r="N120" s="3">
        <v>324</v>
      </c>
      <c r="O120" s="3">
        <v>513</v>
      </c>
      <c r="P120" s="3">
        <v>643</v>
      </c>
      <c r="Q120" s="3">
        <v>113</v>
      </c>
      <c r="R120" s="3">
        <v>324</v>
      </c>
      <c r="S120" s="3">
        <v>517</v>
      </c>
      <c r="T120" s="3">
        <v>665</v>
      </c>
      <c r="U120" s="3">
        <v>175</v>
      </c>
      <c r="V120" s="3">
        <v>361</v>
      </c>
      <c r="W120" s="3">
        <v>547</v>
      </c>
      <c r="X120" s="3">
        <v>656</v>
      </c>
      <c r="Y120" s="3">
        <v>215</v>
      </c>
      <c r="Z120" s="3">
        <v>417</v>
      </c>
      <c r="AA120" s="3">
        <v>588</v>
      </c>
      <c r="AB120" s="3">
        <v>775</v>
      </c>
      <c r="AC120" s="3">
        <v>178</v>
      </c>
      <c r="AD120" s="3">
        <v>338</v>
      </c>
      <c r="AE120" s="3">
        <v>526</v>
      </c>
      <c r="AF120" s="3">
        <v>679</v>
      </c>
      <c r="AG120" s="3">
        <v>193</v>
      </c>
      <c r="AH120" s="3">
        <v>361</v>
      </c>
      <c r="AI120" s="3">
        <v>532</v>
      </c>
      <c r="AJ120" s="3">
        <v>715</v>
      </c>
      <c r="AK120" s="3">
        <v>233</v>
      </c>
      <c r="AL120" s="3">
        <v>424</v>
      </c>
      <c r="AM120" s="3">
        <v>593</v>
      </c>
      <c r="AN120" s="3">
        <v>778</v>
      </c>
      <c r="AO120" s="3">
        <v>221</v>
      </c>
      <c r="AP120" s="59">
        <v>432</v>
      </c>
      <c r="AQ120" s="59">
        <v>625</v>
      </c>
      <c r="AR120" s="59">
        <v>741</v>
      </c>
      <c r="AS120" s="60">
        <v>240</v>
      </c>
      <c r="AT120" s="60">
        <v>462</v>
      </c>
      <c r="AU120" s="60">
        <v>687</v>
      </c>
      <c r="AV120" s="25">
        <v>851</v>
      </c>
      <c r="AW120" s="25">
        <v>239</v>
      </c>
      <c r="AX120" s="25">
        <v>427</v>
      </c>
      <c r="AY120" s="25">
        <v>606</v>
      </c>
      <c r="AZ120" s="25">
        <v>826</v>
      </c>
      <c r="BA120" s="25">
        <v>193</v>
      </c>
      <c r="BB120" s="25">
        <v>353</v>
      </c>
      <c r="BC120" s="25">
        <v>533</v>
      </c>
      <c r="BD120" s="25">
        <v>819</v>
      </c>
      <c r="BE120" s="25">
        <v>170</v>
      </c>
      <c r="BF120" s="25">
        <v>326</v>
      </c>
      <c r="BG120" s="25">
        <v>526</v>
      </c>
      <c r="BH120" s="25">
        <v>697</v>
      </c>
      <c r="BI120" s="25">
        <v>129</v>
      </c>
      <c r="BJ120" s="25">
        <v>329</v>
      </c>
    </row>
    <row r="121" spans="1:62" ht="14.1" customHeight="1" outlineLevel="1" x14ac:dyDescent="0.2">
      <c r="A121" s="56"/>
      <c r="B121" s="78" t="s">
        <v>210</v>
      </c>
      <c r="C121" s="67">
        <f t="shared" ref="C121:AX121" si="48">SUM(C119:C120)</f>
        <v>547</v>
      </c>
      <c r="D121" s="67">
        <f t="shared" si="48"/>
        <v>622</v>
      </c>
      <c r="E121" s="67">
        <f t="shared" si="48"/>
        <v>70</v>
      </c>
      <c r="F121" s="67">
        <f t="shared" si="48"/>
        <v>186</v>
      </c>
      <c r="G121" s="67">
        <f t="shared" si="48"/>
        <v>474</v>
      </c>
      <c r="H121" s="67">
        <f t="shared" si="48"/>
        <v>668</v>
      </c>
      <c r="I121" s="67">
        <f t="shared" si="48"/>
        <v>202</v>
      </c>
      <c r="J121" s="67">
        <f t="shared" si="48"/>
        <v>405</v>
      </c>
      <c r="K121" s="67">
        <f t="shared" si="48"/>
        <v>712</v>
      </c>
      <c r="L121" s="67">
        <f t="shared" si="48"/>
        <v>917</v>
      </c>
      <c r="M121" s="67">
        <f t="shared" si="48"/>
        <v>177</v>
      </c>
      <c r="N121" s="67">
        <f t="shared" si="48"/>
        <v>398</v>
      </c>
      <c r="O121" s="67">
        <f t="shared" si="48"/>
        <v>643</v>
      </c>
      <c r="P121" s="67">
        <f t="shared" si="48"/>
        <v>790</v>
      </c>
      <c r="Q121" s="67">
        <f t="shared" si="48"/>
        <v>140</v>
      </c>
      <c r="R121" s="67">
        <f t="shared" si="48"/>
        <v>402</v>
      </c>
      <c r="S121" s="67">
        <f t="shared" si="48"/>
        <v>643</v>
      </c>
      <c r="T121" s="67">
        <f t="shared" si="48"/>
        <v>821</v>
      </c>
      <c r="U121" s="67">
        <f t="shared" si="48"/>
        <v>199</v>
      </c>
      <c r="V121" s="67">
        <f t="shared" si="48"/>
        <v>427</v>
      </c>
      <c r="W121" s="67">
        <f t="shared" si="48"/>
        <v>678</v>
      </c>
      <c r="X121" s="67">
        <f t="shared" si="48"/>
        <v>814</v>
      </c>
      <c r="Y121" s="67">
        <f t="shared" si="48"/>
        <v>239</v>
      </c>
      <c r="Z121" s="67">
        <f t="shared" si="48"/>
        <v>488</v>
      </c>
      <c r="AA121" s="67">
        <f t="shared" si="48"/>
        <v>727</v>
      </c>
      <c r="AB121" s="67">
        <f t="shared" si="48"/>
        <v>932</v>
      </c>
      <c r="AC121" s="67">
        <f t="shared" si="48"/>
        <v>194</v>
      </c>
      <c r="AD121" s="67">
        <f t="shared" si="48"/>
        <v>395</v>
      </c>
      <c r="AE121" s="67">
        <f t="shared" si="48"/>
        <v>613</v>
      </c>
      <c r="AF121" s="67">
        <f t="shared" si="48"/>
        <v>794</v>
      </c>
      <c r="AG121" s="67">
        <f t="shared" si="48"/>
        <v>216</v>
      </c>
      <c r="AH121" s="67">
        <f t="shared" si="48"/>
        <v>417</v>
      </c>
      <c r="AI121" s="67">
        <f t="shared" si="48"/>
        <v>647</v>
      </c>
      <c r="AJ121" s="67">
        <f t="shared" si="48"/>
        <v>873</v>
      </c>
      <c r="AK121" s="67">
        <f t="shared" si="48"/>
        <v>265</v>
      </c>
      <c r="AL121" s="67">
        <f t="shared" si="48"/>
        <v>509</v>
      </c>
      <c r="AM121" s="67">
        <f t="shared" si="48"/>
        <v>755</v>
      </c>
      <c r="AN121" s="67">
        <f t="shared" si="48"/>
        <v>987</v>
      </c>
      <c r="AO121" s="67">
        <f t="shared" si="48"/>
        <v>243</v>
      </c>
      <c r="AP121" s="67">
        <f t="shared" si="48"/>
        <v>514</v>
      </c>
      <c r="AQ121" s="67">
        <f t="shared" si="48"/>
        <v>797</v>
      </c>
      <c r="AR121" s="67">
        <f t="shared" si="48"/>
        <v>973</v>
      </c>
      <c r="AS121" s="67">
        <f t="shared" si="48"/>
        <v>267</v>
      </c>
      <c r="AT121" s="67">
        <f t="shared" si="48"/>
        <v>566</v>
      </c>
      <c r="AU121" s="67">
        <f t="shared" si="48"/>
        <v>856</v>
      </c>
      <c r="AV121" s="67">
        <f t="shared" si="48"/>
        <v>1061</v>
      </c>
      <c r="AW121" s="67">
        <f t="shared" si="48"/>
        <v>283</v>
      </c>
      <c r="AX121" s="67">
        <f t="shared" si="48"/>
        <v>550</v>
      </c>
      <c r="AY121" s="67">
        <v>816</v>
      </c>
      <c r="AZ121" s="67">
        <v>1124</v>
      </c>
      <c r="BA121" s="67">
        <f>+BA56</f>
        <v>268</v>
      </c>
      <c r="BB121" s="67">
        <v>482</v>
      </c>
      <c r="BC121" s="67">
        <v>738</v>
      </c>
      <c r="BD121" s="67">
        <v>1034</v>
      </c>
      <c r="BE121" s="67">
        <f>+BE56</f>
        <v>189</v>
      </c>
      <c r="BF121" s="67">
        <v>392</v>
      </c>
      <c r="BG121" s="67">
        <v>651</v>
      </c>
      <c r="BH121" s="67">
        <v>908</v>
      </c>
      <c r="BI121" s="67">
        <f>+BI56</f>
        <v>177</v>
      </c>
      <c r="BJ121" s="67">
        <v>444</v>
      </c>
    </row>
    <row r="122" spans="1:62" ht="14.1" customHeight="1" outlineLevel="1" x14ac:dyDescent="0.2">
      <c r="A122" s="56"/>
      <c r="B122" s="52" t="s">
        <v>190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>
        <v>7</v>
      </c>
      <c r="AP122" s="3">
        <v>10</v>
      </c>
      <c r="AQ122" s="3">
        <v>12</v>
      </c>
      <c r="AR122" s="3">
        <v>14</v>
      </c>
      <c r="AS122" s="3">
        <v>2</v>
      </c>
      <c r="AT122" s="3">
        <v>5</v>
      </c>
      <c r="AU122" s="3">
        <v>10</v>
      </c>
      <c r="AV122" s="25">
        <v>18</v>
      </c>
      <c r="AW122" s="25">
        <v>13</v>
      </c>
      <c r="AX122" s="25">
        <v>14</v>
      </c>
      <c r="AY122" s="25">
        <v>21</v>
      </c>
      <c r="AZ122" s="25">
        <v>29</v>
      </c>
      <c r="BA122" s="25">
        <f>+BA57</f>
        <v>20</v>
      </c>
      <c r="BB122" s="25">
        <v>33</v>
      </c>
      <c r="BC122" s="25">
        <v>48</v>
      </c>
      <c r="BD122" s="25">
        <v>61</v>
      </c>
      <c r="BE122" s="25">
        <f>+BE57</f>
        <v>0</v>
      </c>
      <c r="BF122" s="25">
        <v>6</v>
      </c>
      <c r="BG122" s="25">
        <v>12</v>
      </c>
      <c r="BH122" s="25">
        <v>12</v>
      </c>
      <c r="BI122" s="25">
        <f>+BI57</f>
        <v>2</v>
      </c>
      <c r="BJ122" s="25"/>
    </row>
    <row r="123" spans="1:62" ht="14.1" customHeight="1" outlineLevel="1" x14ac:dyDescent="0.2">
      <c r="A123" s="56"/>
      <c r="B123" s="79" t="s">
        <v>211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81">
        <f t="shared" ref="AO123:AT123" si="49">SUM(AO122)</f>
        <v>7</v>
      </c>
      <c r="AP123" s="81">
        <f t="shared" si="49"/>
        <v>10</v>
      </c>
      <c r="AQ123" s="81">
        <f t="shared" si="49"/>
        <v>12</v>
      </c>
      <c r="AR123" s="81">
        <f t="shared" si="49"/>
        <v>14</v>
      </c>
      <c r="AS123" s="81">
        <f t="shared" si="49"/>
        <v>2</v>
      </c>
      <c r="AT123" s="81">
        <f t="shared" si="49"/>
        <v>5</v>
      </c>
      <c r="AU123" s="67">
        <v>13</v>
      </c>
      <c r="AV123" s="81">
        <f>SUM(AV122)</f>
        <v>18</v>
      </c>
      <c r="AW123" s="81">
        <f>SUM(AW122)</f>
        <v>13</v>
      </c>
      <c r="AX123" s="81">
        <v>22</v>
      </c>
      <c r="AY123" s="81">
        <v>34</v>
      </c>
      <c r="AZ123" s="81">
        <v>46</v>
      </c>
      <c r="BA123" s="81">
        <f>+BA58</f>
        <v>24</v>
      </c>
      <c r="BB123" s="81">
        <v>44</v>
      </c>
      <c r="BC123" s="81">
        <v>62</v>
      </c>
      <c r="BD123" s="81">
        <v>79</v>
      </c>
      <c r="BE123" s="81">
        <f>+BE58</f>
        <v>4</v>
      </c>
      <c r="BF123" s="81">
        <v>16</v>
      </c>
      <c r="BG123" s="81">
        <v>30</v>
      </c>
      <c r="BH123" s="81">
        <v>33</v>
      </c>
      <c r="BI123" s="81">
        <f>+BI58</f>
        <v>6</v>
      </c>
      <c r="BJ123" s="81">
        <v>11</v>
      </c>
    </row>
    <row r="124" spans="1:62" ht="14.1" customHeight="1" outlineLevel="1" x14ac:dyDescent="0.2">
      <c r="A124" s="56"/>
      <c r="B124" s="6" t="s">
        <v>57</v>
      </c>
      <c r="C124" s="23">
        <v>0.73</v>
      </c>
      <c r="D124" s="23">
        <v>0.66</v>
      </c>
      <c r="E124" s="23">
        <f>+E59</f>
        <v>0.55000000000000004</v>
      </c>
      <c r="F124" s="23">
        <v>0.42</v>
      </c>
      <c r="G124" s="23">
        <v>0.61</v>
      </c>
      <c r="H124" s="23">
        <v>0.67</v>
      </c>
      <c r="I124" s="23">
        <f>+I59</f>
        <v>0.88</v>
      </c>
      <c r="J124" s="23">
        <v>0.82</v>
      </c>
      <c r="K124" s="23">
        <v>0.87</v>
      </c>
      <c r="L124" s="23">
        <v>0.88</v>
      </c>
      <c r="M124" s="23">
        <f>+M59</f>
        <v>0.71</v>
      </c>
      <c r="N124" s="23">
        <v>0.81</v>
      </c>
      <c r="O124" s="23">
        <v>0.81</v>
      </c>
      <c r="P124" s="23">
        <v>0.81</v>
      </c>
      <c r="Q124" s="23">
        <f>+Q59</f>
        <v>0.69</v>
      </c>
      <c r="R124" s="23">
        <v>0.81</v>
      </c>
      <c r="S124" s="23">
        <v>0.81</v>
      </c>
      <c r="T124" s="23">
        <v>0.83</v>
      </c>
      <c r="U124" s="23">
        <f>+U59</f>
        <v>0.8</v>
      </c>
      <c r="V124" s="23">
        <v>0.83</v>
      </c>
      <c r="W124" s="23">
        <v>0.84</v>
      </c>
      <c r="X124" s="23">
        <v>0.83</v>
      </c>
      <c r="Y124" s="23">
        <f>+Y59</f>
        <v>0.89</v>
      </c>
      <c r="Z124" s="23">
        <v>0.88</v>
      </c>
      <c r="AA124" s="23">
        <v>0.84</v>
      </c>
      <c r="AB124" s="23">
        <v>0.86</v>
      </c>
      <c r="AC124" s="23">
        <f>+AC59</f>
        <v>0.78</v>
      </c>
      <c r="AD124" s="23">
        <v>0.79</v>
      </c>
      <c r="AE124" s="23">
        <v>0.77</v>
      </c>
      <c r="AF124" s="23">
        <v>0.78</v>
      </c>
      <c r="AG124" s="23">
        <f>+AG59</f>
        <v>0.83</v>
      </c>
      <c r="AH124" s="23">
        <v>0.79</v>
      </c>
      <c r="AI124" s="23">
        <v>0.72</v>
      </c>
      <c r="AJ124" s="23">
        <v>0.69</v>
      </c>
      <c r="AK124" s="23">
        <f>+AK59</f>
        <v>0.88</v>
      </c>
      <c r="AL124" s="23">
        <v>0.79</v>
      </c>
      <c r="AM124" s="23">
        <v>0.8</v>
      </c>
      <c r="AN124" s="23">
        <v>0.83</v>
      </c>
      <c r="AO124" s="23">
        <f>+AO59</f>
        <v>0.88</v>
      </c>
      <c r="AP124" s="23">
        <v>0.89</v>
      </c>
      <c r="AQ124" s="23">
        <v>0.89</v>
      </c>
      <c r="AR124" s="23">
        <v>0.86</v>
      </c>
      <c r="AS124" s="23">
        <f>+AS59</f>
        <v>0.88</v>
      </c>
      <c r="AT124" s="23">
        <v>0.92</v>
      </c>
      <c r="AU124" s="23">
        <v>0.91</v>
      </c>
      <c r="AV124" s="23">
        <v>0.89</v>
      </c>
      <c r="AW124" s="23">
        <f>+AW59</f>
        <v>0.98</v>
      </c>
      <c r="AX124" s="23">
        <v>0.92</v>
      </c>
      <c r="AY124" s="23">
        <v>0.86</v>
      </c>
      <c r="AZ124" s="23">
        <v>0.93</v>
      </c>
      <c r="BA124" s="23">
        <f>+BA59</f>
        <v>0.94</v>
      </c>
      <c r="BB124" s="23">
        <v>0.88</v>
      </c>
      <c r="BC124" s="23">
        <v>0.85</v>
      </c>
      <c r="BD124" s="23">
        <v>0.88</v>
      </c>
      <c r="BE124" s="23">
        <f>+BE59</f>
        <v>0.66</v>
      </c>
      <c r="BF124" s="23">
        <v>0.65</v>
      </c>
      <c r="BG124" s="23">
        <v>0.72</v>
      </c>
      <c r="BH124" s="23">
        <v>0.75</v>
      </c>
      <c r="BI124" s="23">
        <f>+BI59</f>
        <v>0.67</v>
      </c>
      <c r="BJ124" s="23">
        <v>0.71</v>
      </c>
    </row>
    <row r="125" spans="1:62" ht="14.1" customHeight="1" outlineLevel="1" x14ac:dyDescent="0.2">
      <c r="A125" s="56"/>
      <c r="B125" s="16" t="s">
        <v>60</v>
      </c>
      <c r="C125" s="21">
        <f t="shared" ref="C125:BI125" si="50">SUM(C130,C133,C134)</f>
        <v>239</v>
      </c>
      <c r="D125" s="21">
        <f t="shared" si="50"/>
        <v>298</v>
      </c>
      <c r="E125" s="21">
        <f t="shared" si="50"/>
        <v>126</v>
      </c>
      <c r="F125" s="21">
        <f t="shared" si="50"/>
        <v>260</v>
      </c>
      <c r="G125" s="21">
        <f t="shared" si="50"/>
        <v>340</v>
      </c>
      <c r="H125" s="21">
        <f t="shared" si="50"/>
        <v>563</v>
      </c>
      <c r="I125" s="21">
        <f t="shared" si="50"/>
        <v>70</v>
      </c>
      <c r="J125" s="21">
        <f t="shared" si="50"/>
        <v>118</v>
      </c>
      <c r="K125" s="21">
        <f t="shared" si="50"/>
        <v>159</v>
      </c>
      <c r="L125" s="21">
        <f t="shared" si="50"/>
        <v>237</v>
      </c>
      <c r="M125" s="21">
        <f t="shared" si="50"/>
        <v>58</v>
      </c>
      <c r="N125" s="21">
        <f t="shared" si="50"/>
        <v>124</v>
      </c>
      <c r="O125" s="21">
        <f t="shared" si="50"/>
        <v>151</v>
      </c>
      <c r="P125" s="21">
        <f t="shared" si="50"/>
        <v>219</v>
      </c>
      <c r="Q125" s="21">
        <f t="shared" si="50"/>
        <v>67</v>
      </c>
      <c r="R125" s="21">
        <f t="shared" si="50"/>
        <v>123</v>
      </c>
      <c r="S125" s="21">
        <f t="shared" si="50"/>
        <v>132</v>
      </c>
      <c r="T125" s="21">
        <f t="shared" si="50"/>
        <v>173</v>
      </c>
      <c r="U125" s="21">
        <f t="shared" si="50"/>
        <v>33</v>
      </c>
      <c r="V125" s="21">
        <f t="shared" si="50"/>
        <v>109</v>
      </c>
      <c r="W125" s="21">
        <f t="shared" si="50"/>
        <v>129</v>
      </c>
      <c r="X125" s="21">
        <f t="shared" si="50"/>
        <v>188</v>
      </c>
      <c r="Y125" s="21">
        <f t="shared" si="50"/>
        <v>64</v>
      </c>
      <c r="Z125" s="21">
        <f t="shared" si="50"/>
        <v>147</v>
      </c>
      <c r="AA125" s="21">
        <f t="shared" si="50"/>
        <v>162</v>
      </c>
      <c r="AB125" s="21">
        <f t="shared" si="50"/>
        <v>360</v>
      </c>
      <c r="AC125" s="21">
        <f t="shared" si="50"/>
        <v>75</v>
      </c>
      <c r="AD125" s="21">
        <f t="shared" si="50"/>
        <v>140</v>
      </c>
      <c r="AE125" s="21">
        <f t="shared" si="50"/>
        <v>176</v>
      </c>
      <c r="AF125" s="21">
        <f t="shared" si="50"/>
        <v>232</v>
      </c>
      <c r="AG125" s="21">
        <f t="shared" si="50"/>
        <v>101</v>
      </c>
      <c r="AH125" s="21">
        <f t="shared" si="50"/>
        <v>165</v>
      </c>
      <c r="AI125" s="21">
        <f t="shared" si="50"/>
        <v>265</v>
      </c>
      <c r="AJ125" s="21">
        <f t="shared" si="50"/>
        <v>385</v>
      </c>
      <c r="AK125" s="21">
        <f t="shared" si="50"/>
        <v>201</v>
      </c>
      <c r="AL125" s="21">
        <f t="shared" si="50"/>
        <v>357</v>
      </c>
      <c r="AM125" s="21">
        <f t="shared" si="50"/>
        <v>454</v>
      </c>
      <c r="AN125" s="21">
        <f t="shared" si="50"/>
        <v>557</v>
      </c>
      <c r="AO125" s="21">
        <f t="shared" si="50"/>
        <v>218</v>
      </c>
      <c r="AP125" s="21">
        <f t="shared" si="50"/>
        <v>316</v>
      </c>
      <c r="AQ125" s="21">
        <f t="shared" si="50"/>
        <v>376</v>
      </c>
      <c r="AR125" s="21">
        <f t="shared" si="50"/>
        <v>438</v>
      </c>
      <c r="AS125" s="21">
        <f t="shared" si="50"/>
        <v>156</v>
      </c>
      <c r="AT125" s="21">
        <f t="shared" si="50"/>
        <v>325</v>
      </c>
      <c r="AU125" s="21">
        <f t="shared" si="50"/>
        <v>532</v>
      </c>
      <c r="AV125" s="21">
        <f t="shared" si="50"/>
        <v>561</v>
      </c>
      <c r="AW125" s="21">
        <f t="shared" si="50"/>
        <v>177</v>
      </c>
      <c r="AX125" s="21">
        <f t="shared" si="50"/>
        <v>331</v>
      </c>
      <c r="AY125" s="21">
        <f t="shared" si="50"/>
        <v>450</v>
      </c>
      <c r="AZ125" s="21">
        <f t="shared" si="50"/>
        <v>576</v>
      </c>
      <c r="BA125" s="21">
        <f t="shared" si="50"/>
        <v>152</v>
      </c>
      <c r="BB125" s="21">
        <f t="shared" si="50"/>
        <v>285</v>
      </c>
      <c r="BC125" s="21">
        <f t="shared" si="50"/>
        <v>383</v>
      </c>
      <c r="BD125" s="21">
        <f t="shared" si="50"/>
        <v>474</v>
      </c>
      <c r="BE125" s="21">
        <f t="shared" si="50"/>
        <v>121</v>
      </c>
      <c r="BF125" s="21">
        <f t="shared" si="50"/>
        <v>203</v>
      </c>
      <c r="BG125" s="21">
        <f t="shared" si="50"/>
        <v>309</v>
      </c>
      <c r="BH125" s="21">
        <f t="shared" si="50"/>
        <v>436</v>
      </c>
      <c r="BI125" s="21">
        <f t="shared" si="50"/>
        <v>140</v>
      </c>
      <c r="BJ125" s="21">
        <f>SUM(BJ130,BJ133,BJ134)</f>
        <v>331</v>
      </c>
    </row>
    <row r="126" spans="1:62" ht="14.1" customHeight="1" outlineLevel="1" x14ac:dyDescent="0.2">
      <c r="A126" s="56"/>
      <c r="B126" s="76" t="s">
        <v>53</v>
      </c>
      <c r="C126" s="25">
        <v>47</v>
      </c>
      <c r="D126" s="25">
        <v>63</v>
      </c>
      <c r="E126" s="3">
        <v>11</v>
      </c>
      <c r="F126" s="3">
        <v>26</v>
      </c>
      <c r="G126" s="3">
        <v>31</v>
      </c>
      <c r="H126" s="3">
        <v>69</v>
      </c>
      <c r="I126" s="3">
        <v>32</v>
      </c>
      <c r="J126" s="3">
        <v>40</v>
      </c>
      <c r="K126" s="3">
        <v>51</v>
      </c>
      <c r="L126" s="3">
        <v>71</v>
      </c>
      <c r="M126" s="3">
        <v>27</v>
      </c>
      <c r="N126" s="3">
        <v>51</v>
      </c>
      <c r="O126" s="3">
        <v>64</v>
      </c>
      <c r="P126" s="3">
        <v>80</v>
      </c>
      <c r="Q126" s="3">
        <v>28</v>
      </c>
      <c r="R126" s="3">
        <v>58</v>
      </c>
      <c r="S126" s="3">
        <v>58</v>
      </c>
      <c r="T126" s="3">
        <v>62</v>
      </c>
      <c r="U126" s="3">
        <v>23</v>
      </c>
      <c r="V126" s="3">
        <v>45</v>
      </c>
      <c r="W126" s="3">
        <v>49</v>
      </c>
      <c r="X126" s="3">
        <v>64</v>
      </c>
      <c r="Y126" s="3">
        <v>16</v>
      </c>
      <c r="Z126" s="3">
        <v>44</v>
      </c>
      <c r="AA126" s="3">
        <v>51</v>
      </c>
      <c r="AB126" s="3">
        <v>76</v>
      </c>
      <c r="AC126" s="3">
        <v>16</v>
      </c>
      <c r="AD126" s="3">
        <v>33</v>
      </c>
      <c r="AE126" s="3">
        <v>47</v>
      </c>
      <c r="AF126" s="3">
        <v>47</v>
      </c>
      <c r="AG126" s="3">
        <v>42</v>
      </c>
      <c r="AH126" s="3">
        <v>42</v>
      </c>
      <c r="AI126" s="3">
        <v>42</v>
      </c>
      <c r="AJ126" s="3">
        <v>85</v>
      </c>
      <c r="AK126" s="3">
        <v>78</v>
      </c>
      <c r="AL126" s="3">
        <v>149</v>
      </c>
      <c r="AM126" s="3">
        <v>202</v>
      </c>
      <c r="AN126" s="3">
        <v>256</v>
      </c>
      <c r="AO126" s="3">
        <v>97</v>
      </c>
      <c r="AP126" s="3">
        <v>117</v>
      </c>
      <c r="AQ126" s="3">
        <v>137</v>
      </c>
      <c r="AR126" s="3">
        <v>163</v>
      </c>
      <c r="AS126" s="25">
        <v>65</v>
      </c>
      <c r="AT126" s="25">
        <v>119</v>
      </c>
      <c r="AU126" s="25">
        <v>136</v>
      </c>
      <c r="AV126" s="25">
        <v>144</v>
      </c>
      <c r="AW126" s="25">
        <v>84</v>
      </c>
      <c r="AX126" s="25">
        <v>133</v>
      </c>
      <c r="AY126" s="25">
        <v>185</v>
      </c>
      <c r="AZ126" s="25">
        <v>244</v>
      </c>
      <c r="BA126" s="25">
        <f t="shared" ref="BA126:BA127" si="51">+BA61</f>
        <v>43</v>
      </c>
      <c r="BB126" s="25">
        <v>56</v>
      </c>
      <c r="BC126" s="25">
        <v>73</v>
      </c>
      <c r="BD126" s="25">
        <v>80</v>
      </c>
      <c r="BE126" s="25">
        <f t="shared" ref="BE126:BE127" si="52">+BE61</f>
        <v>37</v>
      </c>
      <c r="BF126" s="25">
        <v>37</v>
      </c>
      <c r="BG126" s="25">
        <v>47</v>
      </c>
      <c r="BH126" s="25">
        <v>80</v>
      </c>
      <c r="BI126" s="25">
        <f t="shared" ref="BI126:BI127" si="53">+BI61</f>
        <v>35</v>
      </c>
      <c r="BJ126" s="25">
        <v>103</v>
      </c>
    </row>
    <row r="127" spans="1:62" ht="14.1" customHeight="1" outlineLevel="1" x14ac:dyDescent="0.2">
      <c r="A127" s="56"/>
      <c r="B127" s="76" t="s">
        <v>54</v>
      </c>
      <c r="C127" s="25">
        <v>102</v>
      </c>
      <c r="D127" s="25">
        <v>120</v>
      </c>
      <c r="E127" s="3">
        <v>61</v>
      </c>
      <c r="F127" s="3">
        <v>99</v>
      </c>
      <c r="G127" s="3">
        <v>125</v>
      </c>
      <c r="H127" s="3">
        <v>217</v>
      </c>
      <c r="I127" s="3">
        <v>36</v>
      </c>
      <c r="J127" s="3">
        <v>76</v>
      </c>
      <c r="K127" s="3">
        <v>97</v>
      </c>
      <c r="L127" s="3">
        <v>134</v>
      </c>
      <c r="M127" s="3">
        <v>20</v>
      </c>
      <c r="N127" s="3">
        <v>62</v>
      </c>
      <c r="O127" s="3">
        <v>71</v>
      </c>
      <c r="P127" s="3">
        <v>94</v>
      </c>
      <c r="Q127" s="3">
        <v>18</v>
      </c>
      <c r="R127" s="3">
        <v>43</v>
      </c>
      <c r="S127" s="3">
        <v>52</v>
      </c>
      <c r="T127" s="3">
        <v>87</v>
      </c>
      <c r="U127" s="3">
        <v>10</v>
      </c>
      <c r="V127" s="3">
        <v>53</v>
      </c>
      <c r="W127" s="3">
        <v>67</v>
      </c>
      <c r="X127" s="3">
        <v>94</v>
      </c>
      <c r="Y127" s="3">
        <v>28</v>
      </c>
      <c r="Z127" s="3">
        <v>83</v>
      </c>
      <c r="AA127" s="3">
        <v>91</v>
      </c>
      <c r="AB127" s="3">
        <v>144</v>
      </c>
      <c r="AC127" s="3">
        <v>53</v>
      </c>
      <c r="AD127" s="3">
        <v>101</v>
      </c>
      <c r="AE127" s="3">
        <v>123</v>
      </c>
      <c r="AF127" s="3">
        <v>179</v>
      </c>
      <c r="AG127" s="3">
        <v>59</v>
      </c>
      <c r="AH127" s="3">
        <v>123</v>
      </c>
      <c r="AI127" s="3">
        <v>177</v>
      </c>
      <c r="AJ127" s="3">
        <v>238</v>
      </c>
      <c r="AK127" s="3">
        <v>123</v>
      </c>
      <c r="AL127" s="3">
        <v>208</v>
      </c>
      <c r="AM127" s="3">
        <v>252</v>
      </c>
      <c r="AN127" s="3">
        <v>279</v>
      </c>
      <c r="AO127" s="3">
        <v>121</v>
      </c>
      <c r="AP127" s="3">
        <v>199</v>
      </c>
      <c r="AQ127" s="3">
        <v>239</v>
      </c>
      <c r="AR127" s="3">
        <v>275</v>
      </c>
      <c r="AS127" s="25">
        <v>90</v>
      </c>
      <c r="AT127" s="25">
        <v>205</v>
      </c>
      <c r="AU127" s="25">
        <v>358</v>
      </c>
      <c r="AV127" s="25">
        <v>380</v>
      </c>
      <c r="AW127" s="25">
        <v>93</v>
      </c>
      <c r="AX127" s="25">
        <v>198</v>
      </c>
      <c r="AY127" s="25">
        <v>264</v>
      </c>
      <c r="AZ127" s="25">
        <v>332</v>
      </c>
      <c r="BA127" s="25">
        <f t="shared" si="51"/>
        <v>110</v>
      </c>
      <c r="BB127" s="25">
        <v>227</v>
      </c>
      <c r="BC127" s="25">
        <v>310</v>
      </c>
      <c r="BD127" s="25">
        <v>393</v>
      </c>
      <c r="BE127" s="25">
        <f t="shared" si="52"/>
        <v>83</v>
      </c>
      <c r="BF127" s="25">
        <v>166</v>
      </c>
      <c r="BG127" s="25">
        <v>263</v>
      </c>
      <c r="BH127" s="25">
        <v>356</v>
      </c>
      <c r="BI127" s="25">
        <f t="shared" si="53"/>
        <v>105</v>
      </c>
      <c r="BJ127" s="25">
        <v>228</v>
      </c>
    </row>
    <row r="128" spans="1:62" ht="14.1" customHeight="1" outlineLevel="1" x14ac:dyDescent="0.2">
      <c r="A128" s="56"/>
      <c r="B128" s="76" t="s">
        <v>52</v>
      </c>
      <c r="C128" s="25">
        <v>70</v>
      </c>
      <c r="D128" s="25">
        <v>95</v>
      </c>
      <c r="E128" s="3">
        <v>35</v>
      </c>
      <c r="F128" s="3">
        <v>78</v>
      </c>
      <c r="G128" s="3">
        <v>100</v>
      </c>
      <c r="H128" s="3">
        <v>188</v>
      </c>
      <c r="I128" s="3">
        <v>0</v>
      </c>
      <c r="J128" s="3">
        <v>0</v>
      </c>
      <c r="K128" s="3">
        <v>9</v>
      </c>
      <c r="L128" s="3">
        <v>30</v>
      </c>
      <c r="M128" s="3">
        <v>10</v>
      </c>
      <c r="N128" s="3">
        <v>10</v>
      </c>
      <c r="O128" s="3">
        <v>10</v>
      </c>
      <c r="P128" s="3">
        <v>37</v>
      </c>
      <c r="Q128" s="3">
        <v>19</v>
      </c>
      <c r="R128" s="3">
        <v>19</v>
      </c>
      <c r="S128" s="3">
        <v>19</v>
      </c>
      <c r="T128" s="3">
        <v>19</v>
      </c>
      <c r="U128" s="3">
        <v>0</v>
      </c>
      <c r="V128" s="3">
        <v>10</v>
      </c>
      <c r="W128" s="3">
        <v>10</v>
      </c>
      <c r="X128" s="3">
        <v>27</v>
      </c>
      <c r="Y128" s="3">
        <v>20</v>
      </c>
      <c r="Z128" s="3">
        <v>20</v>
      </c>
      <c r="AA128" s="3">
        <v>20</v>
      </c>
      <c r="AB128" s="3">
        <v>95</v>
      </c>
      <c r="AC128" s="3">
        <v>6</v>
      </c>
      <c r="AD128" s="3">
        <v>6</v>
      </c>
      <c r="AE128" s="3">
        <v>6</v>
      </c>
      <c r="AF128" s="3">
        <v>6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3">
        <f>+BA64</f>
        <v>0</v>
      </c>
      <c r="BB128" s="3">
        <v>0</v>
      </c>
      <c r="BC128" s="3">
        <v>0</v>
      </c>
      <c r="BD128" s="3">
        <v>0</v>
      </c>
      <c r="BE128" s="3">
        <f>+BE64</f>
        <v>0</v>
      </c>
      <c r="BF128" s="3">
        <v>0</v>
      </c>
      <c r="BG128" s="3">
        <v>0</v>
      </c>
      <c r="BH128" s="3">
        <v>0</v>
      </c>
      <c r="BI128" s="3">
        <f>+BI64</f>
        <v>0</v>
      </c>
      <c r="BJ128" s="3">
        <v>0</v>
      </c>
    </row>
    <row r="129" spans="1:62" ht="14.1" customHeight="1" outlineLevel="1" x14ac:dyDescent="0.2">
      <c r="A129" s="56"/>
      <c r="B129" s="52" t="s">
        <v>51</v>
      </c>
      <c r="C129" s="25">
        <v>8</v>
      </c>
      <c r="D129" s="25">
        <v>8</v>
      </c>
      <c r="E129" s="3">
        <v>0</v>
      </c>
      <c r="F129" s="3">
        <v>24</v>
      </c>
      <c r="G129" s="3">
        <v>32</v>
      </c>
      <c r="H129" s="3">
        <v>32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f>+BA63</f>
        <v>0</v>
      </c>
      <c r="BB129" s="3">
        <v>0</v>
      </c>
      <c r="BC129" s="3">
        <v>0</v>
      </c>
      <c r="BD129" s="3">
        <v>0</v>
      </c>
      <c r="BE129" s="3">
        <f>+BE63</f>
        <v>0</v>
      </c>
      <c r="BF129" s="3">
        <v>0</v>
      </c>
      <c r="BG129" s="3">
        <v>0</v>
      </c>
      <c r="BH129" s="3">
        <v>0</v>
      </c>
      <c r="BI129" s="3">
        <f>+BI63</f>
        <v>0</v>
      </c>
      <c r="BJ129" s="3">
        <v>0</v>
      </c>
    </row>
    <row r="130" spans="1:62" ht="14.1" customHeight="1" outlineLevel="1" x14ac:dyDescent="0.2">
      <c r="A130" s="56"/>
      <c r="B130" s="78" t="s">
        <v>209</v>
      </c>
      <c r="C130" s="67">
        <f t="shared" ref="C130:AT130" si="54">SUM(C126:C129)</f>
        <v>227</v>
      </c>
      <c r="D130" s="67">
        <f t="shared" si="54"/>
        <v>286</v>
      </c>
      <c r="E130" s="67">
        <f t="shared" si="54"/>
        <v>107</v>
      </c>
      <c r="F130" s="67">
        <f t="shared" si="54"/>
        <v>227</v>
      </c>
      <c r="G130" s="67">
        <f t="shared" si="54"/>
        <v>288</v>
      </c>
      <c r="H130" s="67">
        <f t="shared" si="54"/>
        <v>506</v>
      </c>
      <c r="I130" s="67">
        <f t="shared" si="54"/>
        <v>68</v>
      </c>
      <c r="J130" s="67">
        <f t="shared" si="54"/>
        <v>116</v>
      </c>
      <c r="K130" s="67">
        <f t="shared" si="54"/>
        <v>157</v>
      </c>
      <c r="L130" s="67">
        <f t="shared" si="54"/>
        <v>235</v>
      </c>
      <c r="M130" s="67">
        <f t="shared" si="54"/>
        <v>57</v>
      </c>
      <c r="N130" s="67">
        <f t="shared" si="54"/>
        <v>123</v>
      </c>
      <c r="O130" s="67">
        <f t="shared" si="54"/>
        <v>145</v>
      </c>
      <c r="P130" s="67">
        <f t="shared" si="54"/>
        <v>211</v>
      </c>
      <c r="Q130" s="67">
        <f t="shared" si="54"/>
        <v>65</v>
      </c>
      <c r="R130" s="67">
        <f t="shared" si="54"/>
        <v>120</v>
      </c>
      <c r="S130" s="67">
        <f t="shared" si="54"/>
        <v>129</v>
      </c>
      <c r="T130" s="67">
        <f t="shared" si="54"/>
        <v>168</v>
      </c>
      <c r="U130" s="67">
        <f t="shared" si="54"/>
        <v>33</v>
      </c>
      <c r="V130" s="67">
        <f t="shared" si="54"/>
        <v>108</v>
      </c>
      <c r="W130" s="67">
        <f t="shared" si="54"/>
        <v>126</v>
      </c>
      <c r="X130" s="67">
        <f t="shared" si="54"/>
        <v>185</v>
      </c>
      <c r="Y130" s="67">
        <f t="shared" si="54"/>
        <v>64</v>
      </c>
      <c r="Z130" s="67">
        <f t="shared" si="54"/>
        <v>147</v>
      </c>
      <c r="AA130" s="67">
        <f t="shared" si="54"/>
        <v>162</v>
      </c>
      <c r="AB130" s="67">
        <f t="shared" si="54"/>
        <v>315</v>
      </c>
      <c r="AC130" s="67">
        <f t="shared" si="54"/>
        <v>75</v>
      </c>
      <c r="AD130" s="67">
        <f t="shared" si="54"/>
        <v>140</v>
      </c>
      <c r="AE130" s="67">
        <f t="shared" si="54"/>
        <v>176</v>
      </c>
      <c r="AF130" s="67">
        <f t="shared" si="54"/>
        <v>232</v>
      </c>
      <c r="AG130" s="67">
        <f t="shared" si="54"/>
        <v>101</v>
      </c>
      <c r="AH130" s="67">
        <f t="shared" si="54"/>
        <v>165</v>
      </c>
      <c r="AI130" s="67">
        <f t="shared" si="54"/>
        <v>219</v>
      </c>
      <c r="AJ130" s="67">
        <f t="shared" si="54"/>
        <v>323</v>
      </c>
      <c r="AK130" s="67">
        <f t="shared" si="54"/>
        <v>201</v>
      </c>
      <c r="AL130" s="67">
        <f t="shared" si="54"/>
        <v>357</v>
      </c>
      <c r="AM130" s="67">
        <f t="shared" si="54"/>
        <v>454</v>
      </c>
      <c r="AN130" s="67">
        <f t="shared" si="54"/>
        <v>535</v>
      </c>
      <c r="AO130" s="67">
        <f t="shared" si="54"/>
        <v>218</v>
      </c>
      <c r="AP130" s="67">
        <f t="shared" si="54"/>
        <v>316</v>
      </c>
      <c r="AQ130" s="67">
        <f t="shared" si="54"/>
        <v>376</v>
      </c>
      <c r="AR130" s="67">
        <f t="shared" si="54"/>
        <v>438</v>
      </c>
      <c r="AS130" s="67">
        <f t="shared" si="54"/>
        <v>155</v>
      </c>
      <c r="AT130" s="67">
        <f t="shared" si="54"/>
        <v>324</v>
      </c>
      <c r="AU130" s="67">
        <v>494</v>
      </c>
      <c r="AV130" s="67">
        <f>SUM(AV126:AV129)</f>
        <v>524</v>
      </c>
      <c r="AW130" s="67">
        <f>SUM(AW126:AW129)</f>
        <v>177</v>
      </c>
      <c r="AX130" s="67">
        <f>SUM(AX126:AX129)</f>
        <v>331</v>
      </c>
      <c r="AY130" s="67">
        <v>450</v>
      </c>
      <c r="AZ130" s="67">
        <v>576</v>
      </c>
      <c r="BA130" s="67">
        <f>+BA65</f>
        <v>152</v>
      </c>
      <c r="BB130" s="67">
        <v>284</v>
      </c>
      <c r="BC130" s="67">
        <v>382</v>
      </c>
      <c r="BD130" s="67">
        <v>473</v>
      </c>
      <c r="BE130" s="67">
        <f>+BE65</f>
        <v>121</v>
      </c>
      <c r="BF130" s="67">
        <v>203</v>
      </c>
      <c r="BG130" s="67">
        <v>309</v>
      </c>
      <c r="BH130" s="67">
        <v>436</v>
      </c>
      <c r="BI130" s="67">
        <f>+BI65</f>
        <v>140</v>
      </c>
      <c r="BJ130" s="67">
        <v>331</v>
      </c>
    </row>
    <row r="131" spans="1:62" ht="14.1" customHeight="1" outlineLevel="1" x14ac:dyDescent="0.2">
      <c r="A131" s="56"/>
      <c r="B131" s="76" t="s">
        <v>55</v>
      </c>
      <c r="C131" s="25">
        <v>0</v>
      </c>
      <c r="D131" s="25">
        <v>0</v>
      </c>
      <c r="E131" s="3">
        <v>0</v>
      </c>
      <c r="F131" s="3">
        <v>0</v>
      </c>
      <c r="G131" s="3">
        <v>16</v>
      </c>
      <c r="H131" s="3">
        <v>16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44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46</v>
      </c>
      <c r="AJ131" s="3">
        <v>62</v>
      </c>
      <c r="AK131" s="3">
        <v>0</v>
      </c>
      <c r="AL131" s="3">
        <v>0</v>
      </c>
      <c r="AM131" s="3">
        <v>0</v>
      </c>
      <c r="AN131" s="3">
        <v>22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25">
        <v>37</v>
      </c>
      <c r="AV131" s="25">
        <v>37</v>
      </c>
      <c r="AW131" s="25">
        <v>0</v>
      </c>
      <c r="AX131" s="25">
        <v>0</v>
      </c>
      <c r="AY131" s="25">
        <v>0</v>
      </c>
      <c r="AZ131" s="25">
        <v>0</v>
      </c>
      <c r="BA131" s="25">
        <f>+BA67</f>
        <v>0</v>
      </c>
      <c r="BB131" s="25">
        <v>0</v>
      </c>
      <c r="BC131" s="25">
        <v>0</v>
      </c>
      <c r="BD131" s="25">
        <v>0</v>
      </c>
      <c r="BE131" s="25">
        <f>+BE67</f>
        <v>0</v>
      </c>
      <c r="BF131" s="25">
        <v>0</v>
      </c>
      <c r="BG131" s="25">
        <v>0</v>
      </c>
      <c r="BH131" s="25">
        <v>0</v>
      </c>
      <c r="BI131" s="25">
        <f>+BI67</f>
        <v>0</v>
      </c>
      <c r="BJ131" s="25">
        <v>0</v>
      </c>
    </row>
    <row r="132" spans="1:62" ht="14.1" customHeight="1" outlineLevel="1" x14ac:dyDescent="0.2">
      <c r="A132" s="56"/>
      <c r="B132" s="76" t="s">
        <v>56</v>
      </c>
      <c r="C132" s="3">
        <v>0</v>
      </c>
      <c r="D132" s="3">
        <v>0</v>
      </c>
      <c r="E132" s="3">
        <v>19</v>
      </c>
      <c r="F132" s="3">
        <v>33</v>
      </c>
      <c r="G132" s="3">
        <v>33</v>
      </c>
      <c r="H132" s="3">
        <v>33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1</v>
      </c>
      <c r="AT132" s="3">
        <v>1</v>
      </c>
      <c r="AU132" s="3">
        <v>1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f>+BA66</f>
        <v>0</v>
      </c>
      <c r="BB132" s="3">
        <v>0</v>
      </c>
      <c r="BC132" s="3">
        <v>0</v>
      </c>
      <c r="BD132" s="3">
        <v>0</v>
      </c>
      <c r="BE132" s="3">
        <f>+BE66</f>
        <v>0</v>
      </c>
      <c r="BF132" s="3">
        <v>0</v>
      </c>
      <c r="BG132" s="3">
        <v>0</v>
      </c>
      <c r="BH132" s="3">
        <v>0</v>
      </c>
      <c r="BI132" s="3">
        <f>+BI66</f>
        <v>0</v>
      </c>
      <c r="BJ132" s="3">
        <v>0</v>
      </c>
    </row>
    <row r="133" spans="1:62" ht="14.1" customHeight="1" outlineLevel="1" x14ac:dyDescent="0.2">
      <c r="A133" s="56"/>
      <c r="B133" s="78" t="s">
        <v>210</v>
      </c>
      <c r="C133" s="67">
        <v>0</v>
      </c>
      <c r="D133" s="67">
        <v>0</v>
      </c>
      <c r="E133" s="67">
        <v>19</v>
      </c>
      <c r="F133" s="67">
        <v>33</v>
      </c>
      <c r="G133" s="67">
        <v>49</v>
      </c>
      <c r="H133" s="67">
        <v>49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44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46</v>
      </c>
      <c r="AJ133" s="67">
        <v>62</v>
      </c>
      <c r="AK133" s="67">
        <v>0</v>
      </c>
      <c r="AL133" s="67">
        <v>0</v>
      </c>
      <c r="AM133" s="67">
        <v>0</v>
      </c>
      <c r="AN133" s="67">
        <v>22</v>
      </c>
      <c r="AO133" s="67">
        <v>0</v>
      </c>
      <c r="AP133" s="67">
        <v>0</v>
      </c>
      <c r="AQ133" s="67">
        <v>0</v>
      </c>
      <c r="AR133" s="67">
        <v>0</v>
      </c>
      <c r="AS133" s="67">
        <v>1</v>
      </c>
      <c r="AT133" s="67">
        <v>1</v>
      </c>
      <c r="AU133" s="67">
        <v>38</v>
      </c>
      <c r="AV133" s="67">
        <v>37</v>
      </c>
      <c r="AW133" s="67">
        <v>0</v>
      </c>
      <c r="AX133" s="67">
        <v>0</v>
      </c>
      <c r="AY133" s="67">
        <v>0</v>
      </c>
      <c r="AZ133" s="67">
        <v>0</v>
      </c>
      <c r="BA133" s="67">
        <v>0</v>
      </c>
      <c r="BB133" s="67">
        <v>0</v>
      </c>
      <c r="BC133" s="67">
        <v>0</v>
      </c>
      <c r="BD133" s="67">
        <v>0</v>
      </c>
      <c r="BE133" s="67">
        <v>0</v>
      </c>
      <c r="BF133" s="67">
        <v>0</v>
      </c>
      <c r="BG133" s="67">
        <v>0</v>
      </c>
      <c r="BH133" s="67">
        <v>0</v>
      </c>
      <c r="BI133" s="67">
        <v>0</v>
      </c>
      <c r="BJ133" s="67">
        <v>0</v>
      </c>
    </row>
    <row r="134" spans="1:62" ht="14.1" customHeight="1" outlineLevel="1" x14ac:dyDescent="0.2">
      <c r="A134" s="56"/>
      <c r="B134" s="116" t="s">
        <v>211</v>
      </c>
      <c r="C134" s="117">
        <v>12</v>
      </c>
      <c r="D134" s="117">
        <v>12</v>
      </c>
      <c r="E134" s="118">
        <v>0</v>
      </c>
      <c r="F134" s="118">
        <v>0</v>
      </c>
      <c r="G134" s="118">
        <v>3</v>
      </c>
      <c r="H134" s="118">
        <v>8</v>
      </c>
      <c r="I134" s="118">
        <v>2</v>
      </c>
      <c r="J134" s="118">
        <v>2</v>
      </c>
      <c r="K134" s="118">
        <v>2</v>
      </c>
      <c r="L134" s="118">
        <v>2</v>
      </c>
      <c r="M134" s="118">
        <v>1</v>
      </c>
      <c r="N134" s="118">
        <v>1</v>
      </c>
      <c r="O134" s="118">
        <v>6</v>
      </c>
      <c r="P134" s="118">
        <v>8</v>
      </c>
      <c r="Q134" s="118">
        <v>2</v>
      </c>
      <c r="R134" s="118">
        <v>3</v>
      </c>
      <c r="S134" s="118">
        <v>3</v>
      </c>
      <c r="T134" s="118">
        <v>5</v>
      </c>
      <c r="U134" s="118">
        <v>0</v>
      </c>
      <c r="V134" s="118">
        <v>1</v>
      </c>
      <c r="W134" s="118">
        <v>3</v>
      </c>
      <c r="X134" s="118">
        <v>3</v>
      </c>
      <c r="Y134" s="118">
        <v>0</v>
      </c>
      <c r="Z134" s="118">
        <v>0</v>
      </c>
      <c r="AA134" s="118">
        <v>0</v>
      </c>
      <c r="AB134" s="118">
        <v>1</v>
      </c>
      <c r="AC134" s="118">
        <v>0</v>
      </c>
      <c r="AD134" s="118">
        <v>0</v>
      </c>
      <c r="AE134" s="118">
        <v>0</v>
      </c>
      <c r="AF134" s="118">
        <v>0</v>
      </c>
      <c r="AG134" s="118">
        <v>0</v>
      </c>
      <c r="AH134" s="118">
        <v>0</v>
      </c>
      <c r="AI134" s="118">
        <v>0</v>
      </c>
      <c r="AJ134" s="118">
        <v>0</v>
      </c>
      <c r="AK134" s="118">
        <v>0</v>
      </c>
      <c r="AL134" s="118">
        <v>0</v>
      </c>
      <c r="AM134" s="118">
        <v>0</v>
      </c>
      <c r="AN134" s="118">
        <v>0</v>
      </c>
      <c r="AO134" s="118">
        <v>0</v>
      </c>
      <c r="AP134" s="118">
        <v>0</v>
      </c>
      <c r="AQ134" s="118">
        <v>0</v>
      </c>
      <c r="AR134" s="118">
        <v>0</v>
      </c>
      <c r="AS134" s="118">
        <v>0</v>
      </c>
      <c r="AT134" s="118">
        <v>0</v>
      </c>
      <c r="AU134" s="118">
        <v>0</v>
      </c>
      <c r="AV134" s="118">
        <v>0</v>
      </c>
      <c r="AW134" s="118">
        <v>0</v>
      </c>
      <c r="AX134" s="118">
        <v>0</v>
      </c>
      <c r="AY134" s="118">
        <v>0</v>
      </c>
      <c r="AZ134" s="118">
        <v>0</v>
      </c>
      <c r="BA134" s="118">
        <f t="shared" ref="BA134" si="55">+BA69</f>
        <v>0</v>
      </c>
      <c r="BB134" s="118">
        <v>1</v>
      </c>
      <c r="BC134" s="118">
        <v>1</v>
      </c>
      <c r="BD134" s="118">
        <v>1</v>
      </c>
      <c r="BE134" s="118">
        <f t="shared" ref="BE134" si="56">+BE69</f>
        <v>0</v>
      </c>
      <c r="BF134" s="118">
        <v>0</v>
      </c>
      <c r="BG134" s="118">
        <v>0</v>
      </c>
      <c r="BH134" s="118">
        <v>0</v>
      </c>
      <c r="BI134" s="118">
        <f t="shared" ref="BI134" si="57">+BI69</f>
        <v>0</v>
      </c>
      <c r="BJ134" s="118">
        <v>0</v>
      </c>
    </row>
    <row r="135" spans="1:62" outlineLevel="1" x14ac:dyDescent="0.2">
      <c r="A135" s="56"/>
      <c r="B135" s="5" t="s">
        <v>243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</row>
    <row r="136" spans="1:62" ht="14.1" customHeight="1" outlineLevel="1" x14ac:dyDescent="0.2">
      <c r="A136" s="56"/>
      <c r="B136" s="6" t="s">
        <v>61</v>
      </c>
      <c r="C136" s="4">
        <v>2711</v>
      </c>
      <c r="D136" s="4">
        <v>3512</v>
      </c>
      <c r="E136" s="4">
        <v>512</v>
      </c>
      <c r="F136" s="4">
        <v>1491</v>
      </c>
      <c r="G136" s="4">
        <v>2556</v>
      </c>
      <c r="H136" s="4">
        <v>3527</v>
      </c>
      <c r="I136" s="4">
        <v>798</v>
      </c>
      <c r="J136" s="4">
        <v>1882</v>
      </c>
      <c r="K136" s="4">
        <v>2987</v>
      </c>
      <c r="L136" s="4">
        <v>3907</v>
      </c>
      <c r="M136" s="4">
        <v>860</v>
      </c>
      <c r="N136" s="4">
        <v>1883</v>
      </c>
      <c r="O136" s="4">
        <v>2831</v>
      </c>
      <c r="P136" s="4">
        <v>3658</v>
      </c>
      <c r="Q136" s="4">
        <v>861</v>
      </c>
      <c r="R136" s="4">
        <v>2267</v>
      </c>
      <c r="S136" s="4">
        <v>3719</v>
      </c>
      <c r="T136" s="4">
        <v>5359</v>
      </c>
      <c r="U136" s="4">
        <v>1172</v>
      </c>
      <c r="V136" s="4">
        <v>2226</v>
      </c>
      <c r="W136" s="4">
        <v>3622</v>
      </c>
      <c r="X136" s="4">
        <v>4480</v>
      </c>
      <c r="Y136" s="4">
        <v>1039</v>
      </c>
      <c r="Z136" s="4">
        <v>1686</v>
      </c>
      <c r="AA136" s="4">
        <v>2927</v>
      </c>
      <c r="AB136" s="4">
        <v>4418</v>
      </c>
      <c r="AC136" s="4">
        <v>1306</v>
      </c>
      <c r="AD136" s="4">
        <v>2478</v>
      </c>
      <c r="AE136" s="4">
        <v>3899</v>
      </c>
      <c r="AF136" s="4">
        <v>5596</v>
      </c>
      <c r="AG136" s="4">
        <v>1637</v>
      </c>
      <c r="AH136" s="4">
        <v>3019</v>
      </c>
      <c r="AI136" s="4">
        <v>4458</v>
      </c>
      <c r="AJ136" s="4">
        <v>5997</v>
      </c>
      <c r="AK136" s="4">
        <v>1249</v>
      </c>
      <c r="AL136" s="4">
        <v>2824</v>
      </c>
      <c r="AM136" s="4">
        <v>5082</v>
      </c>
      <c r="AN136" s="4">
        <v>6963</v>
      </c>
      <c r="AO136" s="4">
        <v>962</v>
      </c>
      <c r="AP136" s="4">
        <v>2319</v>
      </c>
      <c r="AQ136" s="4">
        <v>3196</v>
      </c>
      <c r="AR136" s="4">
        <v>4176</v>
      </c>
      <c r="AS136" s="4">
        <v>639</v>
      </c>
      <c r="AT136" s="4">
        <v>1965</v>
      </c>
      <c r="AU136" s="4">
        <v>2778</v>
      </c>
      <c r="AV136" s="4">
        <v>4404</v>
      </c>
      <c r="AW136" s="4">
        <v>911</v>
      </c>
      <c r="AX136" s="4">
        <v>2222</v>
      </c>
      <c r="AY136" s="4">
        <v>3544</v>
      </c>
      <c r="AZ136" s="4">
        <v>4404</v>
      </c>
      <c r="BA136" s="4">
        <v>766</v>
      </c>
      <c r="BB136" s="4">
        <v>1800</v>
      </c>
      <c r="BC136" s="4">
        <v>2655</v>
      </c>
      <c r="BD136" s="4">
        <v>3724</v>
      </c>
      <c r="BE136" s="4">
        <v>938</v>
      </c>
      <c r="BF136" s="4">
        <v>2213</v>
      </c>
      <c r="BG136" s="4">
        <v>3620</v>
      </c>
      <c r="BH136" s="4">
        <v>4884</v>
      </c>
      <c r="BI136" s="4">
        <v>873</v>
      </c>
      <c r="BJ136" s="4">
        <v>2211</v>
      </c>
    </row>
    <row r="137" spans="1:62" ht="14.1" customHeight="1" outlineLevel="1" x14ac:dyDescent="0.2">
      <c r="A137" s="56"/>
      <c r="B137" s="6" t="s">
        <v>109</v>
      </c>
      <c r="C137" s="7">
        <v>1378</v>
      </c>
      <c r="D137" s="7">
        <v>1751</v>
      </c>
      <c r="E137" s="7">
        <v>456</v>
      </c>
      <c r="F137" s="7">
        <v>707</v>
      </c>
      <c r="G137" s="7">
        <v>1263</v>
      </c>
      <c r="H137" s="7">
        <v>1898</v>
      </c>
      <c r="I137" s="7">
        <v>672</v>
      </c>
      <c r="J137" s="7">
        <v>1343</v>
      </c>
      <c r="K137" s="7">
        <v>2014</v>
      </c>
      <c r="L137" s="7">
        <v>2687</v>
      </c>
      <c r="M137" s="7">
        <v>482</v>
      </c>
      <c r="N137" s="7">
        <v>944</v>
      </c>
      <c r="O137" s="7">
        <v>1264</v>
      </c>
      <c r="P137" s="7">
        <v>1480</v>
      </c>
      <c r="Q137" s="7">
        <v>152</v>
      </c>
      <c r="R137" s="7">
        <v>172</v>
      </c>
      <c r="S137" s="7">
        <v>217</v>
      </c>
      <c r="T137" s="7">
        <v>384</v>
      </c>
      <c r="U137" s="7">
        <v>192</v>
      </c>
      <c r="V137" s="7">
        <v>513</v>
      </c>
      <c r="W137" s="7">
        <v>733</v>
      </c>
      <c r="X137" s="7">
        <v>1076</v>
      </c>
      <c r="Y137" s="7">
        <v>456</v>
      </c>
      <c r="Z137" s="7">
        <v>729</v>
      </c>
      <c r="AA137" s="7">
        <v>1142</v>
      </c>
      <c r="AB137" s="7">
        <v>1493</v>
      </c>
      <c r="AC137" s="7">
        <v>380</v>
      </c>
      <c r="AD137" s="7">
        <v>695</v>
      </c>
      <c r="AE137" s="7">
        <v>1142</v>
      </c>
      <c r="AF137" s="7">
        <v>1632</v>
      </c>
      <c r="AG137" s="7">
        <v>522</v>
      </c>
      <c r="AH137" s="7">
        <v>1026</v>
      </c>
      <c r="AI137" s="7">
        <v>1460</v>
      </c>
      <c r="AJ137" s="7">
        <v>1893</v>
      </c>
      <c r="AK137" s="7">
        <v>484</v>
      </c>
      <c r="AL137" s="7">
        <v>930</v>
      </c>
      <c r="AM137" s="7">
        <v>1343</v>
      </c>
      <c r="AN137" s="7">
        <v>1808</v>
      </c>
      <c r="AO137" s="7">
        <v>425</v>
      </c>
      <c r="AP137" s="7">
        <v>584</v>
      </c>
      <c r="AQ137" s="7">
        <v>713</v>
      </c>
      <c r="AR137" s="7">
        <v>982</v>
      </c>
      <c r="AS137" s="7">
        <v>64</v>
      </c>
      <c r="AT137" s="7">
        <v>113</v>
      </c>
      <c r="AU137" s="7">
        <v>155</v>
      </c>
      <c r="AV137" s="7">
        <v>207</v>
      </c>
      <c r="AW137" s="7">
        <v>155</v>
      </c>
      <c r="AX137" s="7">
        <v>737</v>
      </c>
      <c r="AY137" s="7">
        <v>1346</v>
      </c>
      <c r="AZ137" s="7">
        <v>1945</v>
      </c>
      <c r="BA137" s="7">
        <v>609</v>
      </c>
      <c r="BB137" s="7">
        <v>822</v>
      </c>
      <c r="BC137" s="7">
        <v>893</v>
      </c>
      <c r="BD137" s="7">
        <v>1099</v>
      </c>
      <c r="BE137" s="7">
        <v>35</v>
      </c>
      <c r="BF137" s="7">
        <v>35</v>
      </c>
      <c r="BG137" s="7">
        <v>15</v>
      </c>
      <c r="BH137" s="7">
        <v>56</v>
      </c>
      <c r="BI137" s="7">
        <v>421</v>
      </c>
      <c r="BJ137" s="7">
        <v>999</v>
      </c>
    </row>
    <row r="138" spans="1:62" ht="14.1" customHeight="1" outlineLevel="1" x14ac:dyDescent="0.2">
      <c r="B138" s="6" t="s">
        <v>110</v>
      </c>
      <c r="C138" s="57" t="s">
        <v>181</v>
      </c>
      <c r="D138" s="57" t="s">
        <v>181</v>
      </c>
      <c r="E138" s="57" t="s">
        <v>181</v>
      </c>
      <c r="F138" s="57" t="s">
        <v>181</v>
      </c>
      <c r="G138" s="57" t="s">
        <v>181</v>
      </c>
      <c r="H138" s="30">
        <v>0.94</v>
      </c>
      <c r="I138" s="30">
        <v>1</v>
      </c>
      <c r="J138" s="30">
        <v>1</v>
      </c>
      <c r="K138" s="30">
        <v>1</v>
      </c>
      <c r="L138" s="30">
        <v>1</v>
      </c>
      <c r="M138" s="30">
        <v>0.72</v>
      </c>
      <c r="N138" s="30">
        <v>0.7</v>
      </c>
      <c r="O138" s="30">
        <v>0.63</v>
      </c>
      <c r="P138" s="30">
        <v>0.55000000000000004</v>
      </c>
      <c r="Q138" s="30">
        <v>0.23</v>
      </c>
      <c r="R138" s="30">
        <v>0.13</v>
      </c>
      <c r="S138" s="30">
        <v>0.11</v>
      </c>
      <c r="T138" s="30">
        <v>0.14000000000000001</v>
      </c>
      <c r="U138" s="30">
        <v>0.28000000000000003</v>
      </c>
      <c r="V138" s="30">
        <v>0.35</v>
      </c>
      <c r="W138" s="30">
        <v>0.36</v>
      </c>
      <c r="X138" s="30">
        <v>0.4</v>
      </c>
      <c r="Y138" s="30">
        <v>0.68</v>
      </c>
      <c r="Z138" s="30">
        <v>0.54</v>
      </c>
      <c r="AA138" s="30">
        <v>0.56000000000000005</v>
      </c>
      <c r="AB138" s="30">
        <v>0.55000000000000004</v>
      </c>
      <c r="AC138" s="30">
        <v>0.56000000000000005</v>
      </c>
      <c r="AD138" s="30">
        <v>0.51</v>
      </c>
      <c r="AE138" s="30">
        <v>0.56000000000000005</v>
      </c>
      <c r="AF138" s="30">
        <v>0.6</v>
      </c>
      <c r="AG138" s="30">
        <v>0.77</v>
      </c>
      <c r="AH138" s="30">
        <v>0.76</v>
      </c>
      <c r="AI138" s="30">
        <v>0.72099999999999997</v>
      </c>
      <c r="AJ138" s="30">
        <v>0.70099999999999996</v>
      </c>
      <c r="AK138" s="30">
        <v>0.82699999999999996</v>
      </c>
      <c r="AL138" s="30">
        <v>0.79</v>
      </c>
      <c r="AM138" s="30">
        <v>0.76600000000000001</v>
      </c>
      <c r="AN138" s="30">
        <v>0.77300000000000002</v>
      </c>
      <c r="AO138" s="30">
        <v>0.72699999999999998</v>
      </c>
      <c r="AP138" s="30">
        <v>0.5</v>
      </c>
      <c r="AQ138" s="30">
        <v>0.48</v>
      </c>
      <c r="AR138" s="30">
        <v>0.42</v>
      </c>
      <c r="AS138" s="30">
        <v>0.11</v>
      </c>
      <c r="AT138" s="30">
        <v>9.6000000000000002E-2</v>
      </c>
      <c r="AU138" s="30">
        <v>8.7999999999999995E-2</v>
      </c>
      <c r="AV138" s="30">
        <v>8.8999999999999996E-2</v>
      </c>
      <c r="AW138" s="30">
        <v>0.26500000000000001</v>
      </c>
      <c r="AX138" s="85">
        <v>0.61899999999999999</v>
      </c>
      <c r="AY138" s="85">
        <v>0.73399999999999999</v>
      </c>
      <c r="AZ138" s="85">
        <v>0.78500000000000003</v>
      </c>
      <c r="BA138" s="85">
        <v>0.94599999999999995</v>
      </c>
      <c r="BB138" s="85">
        <v>0.63800000000000001</v>
      </c>
      <c r="BC138" s="85">
        <v>0.46200000000000002</v>
      </c>
      <c r="BD138" s="85">
        <v>0.42699999999999999</v>
      </c>
      <c r="BE138" s="85">
        <v>7.4999999999999997E-2</v>
      </c>
      <c r="BF138" s="85">
        <v>4.7E-2</v>
      </c>
      <c r="BG138" s="85">
        <v>3.4000000000000002E-2</v>
      </c>
      <c r="BH138" s="85">
        <v>4.2999999999999997E-2</v>
      </c>
      <c r="BI138" s="85">
        <v>0.71</v>
      </c>
      <c r="BJ138" s="85">
        <v>0.84199999999999997</v>
      </c>
    </row>
  </sheetData>
  <hyperlinks>
    <hyperlink ref="B3" location="'Operasyonel Veriler'!A85" display="Çeyreklik Operasyonel Veriler" xr:uid="{00000000-0004-0000-0100-000000000000}"/>
    <hyperlink ref="B4" location="'Operasyonel Veriler'!A172" display="Kümülatif Operasyonel Veriler" xr:uid="{00000000-0004-0000-0100-000001000000}"/>
  </hyperlinks>
  <pageMargins left="0.25" right="0.25" top="0.75" bottom="0.75" header="0.3" footer="0.3"/>
  <pageSetup paperSize="8" scale="35" orientation="landscape" horizontalDpi="300" verticalDpi="300" r:id="rId1"/>
  <rowBreaks count="1" manualBreakCount="1">
    <brk id="5" max="16383" man="1"/>
  </rowBreaks>
  <colBreaks count="1" manualBreakCount="1">
    <brk id="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E5384-CBDF-44B3-A13F-F368CB76DB49}">
  <sheetPr>
    <tabColor theme="8" tint="-0.249977111117893"/>
    <pageSetUpPr fitToPage="1"/>
  </sheetPr>
  <dimension ref="A2:I224"/>
  <sheetViews>
    <sheetView zoomScale="80" zoomScaleNormal="80" workbookViewId="0">
      <pane xSplit="2" topLeftCell="C1" activePane="topRight" state="frozen"/>
      <selection pane="topRight"/>
    </sheetView>
  </sheetViews>
  <sheetFormatPr defaultColWidth="9.140625" defaultRowHeight="12.75" outlineLevelRow="2" x14ac:dyDescent="0.2"/>
  <cols>
    <col min="1" max="1" width="8.7109375" style="56" customWidth="1"/>
    <col min="2" max="2" width="69.85546875" style="1" customWidth="1"/>
    <col min="3" max="8" width="10.7109375" style="1" customWidth="1"/>
    <col min="9" max="16384" width="9.140625" style="1"/>
  </cols>
  <sheetData>
    <row r="2" spans="1:8" s="94" customFormat="1" ht="24" customHeight="1" x14ac:dyDescent="0.25">
      <c r="A2" s="93"/>
      <c r="B2" s="92" t="s">
        <v>163</v>
      </c>
    </row>
    <row r="3" spans="1:8" ht="15.95" customHeight="1" x14ac:dyDescent="0.2">
      <c r="A3" s="77" t="s">
        <v>203</v>
      </c>
      <c r="B3" s="55" t="s">
        <v>149</v>
      </c>
    </row>
    <row r="4" spans="1:8" ht="15.95" customHeight="1" x14ac:dyDescent="0.2">
      <c r="A4" s="77" t="s">
        <v>203</v>
      </c>
      <c r="B4" s="55" t="s">
        <v>150</v>
      </c>
    </row>
    <row r="5" spans="1:8" ht="15.95" customHeight="1" x14ac:dyDescent="0.2">
      <c r="A5" s="77" t="s">
        <v>203</v>
      </c>
      <c r="B5" s="55" t="s">
        <v>151</v>
      </c>
    </row>
    <row r="6" spans="1:8" ht="15.95" customHeight="1" x14ac:dyDescent="0.2">
      <c r="A6" s="77" t="s">
        <v>203</v>
      </c>
      <c r="B6" s="55" t="s">
        <v>218</v>
      </c>
    </row>
    <row r="7" spans="1:8" ht="15.95" customHeight="1" x14ac:dyDescent="0.2">
      <c r="A7" s="77" t="s">
        <v>203</v>
      </c>
      <c r="B7" s="55" t="s">
        <v>152</v>
      </c>
    </row>
    <row r="8" spans="1:8" ht="15.95" customHeight="1" x14ac:dyDescent="0.2">
      <c r="A8" s="77" t="s">
        <v>203</v>
      </c>
      <c r="B8" s="55" t="s">
        <v>215</v>
      </c>
    </row>
    <row r="9" spans="1:8" ht="15.95" customHeight="1" x14ac:dyDescent="0.2">
      <c r="A9" s="77" t="s">
        <v>203</v>
      </c>
      <c r="B9" s="55" t="s">
        <v>111</v>
      </c>
    </row>
    <row r="10" spans="1:8" ht="15.95" customHeight="1" x14ac:dyDescent="0.2">
      <c r="A10" s="77" t="s">
        <v>203</v>
      </c>
      <c r="B10" s="55" t="s">
        <v>154</v>
      </c>
    </row>
    <row r="11" spans="1:8" ht="15.95" customHeight="1" x14ac:dyDescent="0.2">
      <c r="A11" s="77" t="s">
        <v>203</v>
      </c>
      <c r="B11" s="55" t="s">
        <v>123</v>
      </c>
    </row>
    <row r="12" spans="1:8" ht="15.95" customHeight="1" x14ac:dyDescent="0.2">
      <c r="A12" s="77" t="s">
        <v>203</v>
      </c>
      <c r="B12" s="55" t="s">
        <v>160</v>
      </c>
    </row>
    <row r="13" spans="1:8" ht="15.95" customHeight="1" x14ac:dyDescent="0.2">
      <c r="A13" s="77" t="s">
        <v>203</v>
      </c>
      <c r="B13" s="55" t="s">
        <v>165</v>
      </c>
    </row>
    <row r="14" spans="1:8" ht="15.95" customHeight="1" x14ac:dyDescent="0.2">
      <c r="A14" s="77" t="s">
        <v>203</v>
      </c>
      <c r="B14" s="55" t="s">
        <v>138</v>
      </c>
    </row>
    <row r="16" spans="1:8" ht="20.100000000000001" customHeight="1" outlineLevel="1" x14ac:dyDescent="0.2">
      <c r="B16" s="32" t="s">
        <v>149</v>
      </c>
      <c r="C16" s="33"/>
      <c r="D16" s="33"/>
      <c r="E16" s="33"/>
      <c r="F16" s="33"/>
      <c r="G16" s="33"/>
      <c r="H16" s="33"/>
    </row>
    <row r="17" spans="1:9" outlineLevel="1" x14ac:dyDescent="0.2">
      <c r="B17" s="31" t="s">
        <v>65</v>
      </c>
      <c r="C17" s="35" t="s">
        <v>233</v>
      </c>
      <c r="D17" s="35" t="s">
        <v>234</v>
      </c>
      <c r="E17" s="35" t="s">
        <v>235</v>
      </c>
      <c r="F17" s="35">
        <v>2022</v>
      </c>
      <c r="G17" s="35" t="s">
        <v>238</v>
      </c>
      <c r="H17" s="35" t="s">
        <v>239</v>
      </c>
    </row>
    <row r="18" spans="1:9" ht="15" customHeight="1" outlineLevel="1" x14ac:dyDescent="0.2">
      <c r="B18" s="9" t="s">
        <v>66</v>
      </c>
      <c r="C18" s="3">
        <v>5295.826</v>
      </c>
      <c r="D18" s="3">
        <v>12995.146000000001</v>
      </c>
      <c r="E18" s="3">
        <v>21218.111000000001</v>
      </c>
      <c r="F18" s="3">
        <v>30668.491999999998</v>
      </c>
      <c r="G18" s="3">
        <v>9253.9060000000009</v>
      </c>
      <c r="H18" s="3">
        <v>18064.868999999999</v>
      </c>
    </row>
    <row r="19" spans="1:9" ht="15" customHeight="1" outlineLevel="1" x14ac:dyDescent="0.2">
      <c r="B19" s="2" t="s">
        <v>67</v>
      </c>
      <c r="C19" s="4">
        <v>300.72500000000002</v>
      </c>
      <c r="D19" s="4">
        <v>1743.5350000000001</v>
      </c>
      <c r="E19" s="4">
        <v>2730.38</v>
      </c>
      <c r="F19" s="4">
        <v>3609.8409999999999</v>
      </c>
      <c r="G19" s="4">
        <v>786.70600000000002</v>
      </c>
      <c r="H19" s="4">
        <v>2105.2750000000001</v>
      </c>
    </row>
    <row r="20" spans="1:9" ht="15" customHeight="1" outlineLevel="1" x14ac:dyDescent="0.2">
      <c r="B20" s="22" t="s">
        <v>68</v>
      </c>
      <c r="C20" s="38">
        <f t="shared" ref="C20:H20" si="0">+C19/C$18</f>
        <v>5.6785287129901933E-2</v>
      </c>
      <c r="D20" s="38">
        <f t="shared" si="0"/>
        <v>0.13416817325484454</v>
      </c>
      <c r="E20" s="38">
        <f t="shared" si="0"/>
        <v>0.12868157773328642</v>
      </c>
      <c r="F20" s="38">
        <f t="shared" si="0"/>
        <v>0.11770520050350047</v>
      </c>
      <c r="G20" s="38">
        <f t="shared" si="0"/>
        <v>8.5013398666465803E-2</v>
      </c>
      <c r="H20" s="38">
        <f t="shared" si="0"/>
        <v>0.11653973244976204</v>
      </c>
    </row>
    <row r="21" spans="1:9" ht="15" customHeight="1" outlineLevel="1" x14ac:dyDescent="0.2">
      <c r="B21" s="2" t="s">
        <v>69</v>
      </c>
      <c r="C21" s="4">
        <v>-177.84700000000001</v>
      </c>
      <c r="D21" s="4">
        <v>587.19200000000001</v>
      </c>
      <c r="E21" s="4">
        <v>1007.802</v>
      </c>
      <c r="F21" s="4">
        <v>2350.413</v>
      </c>
      <c r="G21" s="4">
        <v>-138.31800000000001</v>
      </c>
      <c r="H21" s="4">
        <v>-499.161</v>
      </c>
    </row>
    <row r="22" spans="1:9" ht="15" customHeight="1" outlineLevel="1" x14ac:dyDescent="0.2">
      <c r="B22" s="22" t="s">
        <v>68</v>
      </c>
      <c r="C22" s="38">
        <f t="shared" ref="C22:H22" si="1">+C21/C$18</f>
        <v>-3.3582485527281297E-2</v>
      </c>
      <c r="D22" s="38">
        <f t="shared" si="1"/>
        <v>4.5185486950281281E-2</v>
      </c>
      <c r="E22" s="38">
        <f t="shared" si="1"/>
        <v>4.7497253643361562E-2</v>
      </c>
      <c r="F22" s="38">
        <f t="shared" si="1"/>
        <v>7.6639340467082637E-2</v>
      </c>
      <c r="G22" s="38">
        <f t="shared" si="1"/>
        <v>-1.4946985629635746E-2</v>
      </c>
      <c r="H22" s="38">
        <f t="shared" si="1"/>
        <v>-2.7631587032266883E-2</v>
      </c>
    </row>
    <row r="23" spans="1:9" ht="15" customHeight="1" outlineLevel="1" x14ac:dyDescent="0.2">
      <c r="B23" s="2" t="s">
        <v>70</v>
      </c>
      <c r="C23" s="4">
        <v>126.92400000000001</v>
      </c>
      <c r="D23" s="4">
        <v>1264.1300000000001</v>
      </c>
      <c r="E23" s="4">
        <v>1969.508</v>
      </c>
      <c r="F23" s="4">
        <v>3409.7829999999999</v>
      </c>
      <c r="G23" s="4">
        <v>249.387</v>
      </c>
      <c r="H23" s="4">
        <v>1057.3510000000001</v>
      </c>
      <c r="I23" s="36"/>
    </row>
    <row r="24" spans="1:9" ht="15" customHeight="1" outlineLevel="1" x14ac:dyDescent="0.2">
      <c r="B24" s="22" t="s">
        <v>68</v>
      </c>
      <c r="C24" s="38">
        <f t="shared" ref="C24:H24" si="2">+C23/C$18</f>
        <v>2.3966799513428123E-2</v>
      </c>
      <c r="D24" s="38">
        <f t="shared" si="2"/>
        <v>9.7277090999978E-2</v>
      </c>
      <c r="E24" s="38">
        <f t="shared" si="2"/>
        <v>9.2822023600498654E-2</v>
      </c>
      <c r="F24" s="38">
        <f t="shared" si="2"/>
        <v>0.111181958343436</v>
      </c>
      <c r="G24" s="38">
        <f t="shared" si="2"/>
        <v>2.6949376836116552E-2</v>
      </c>
      <c r="H24" s="38">
        <f t="shared" si="2"/>
        <v>5.8530787020929974E-2</v>
      </c>
    </row>
    <row r="25" spans="1:9" ht="15" customHeight="1" outlineLevel="1" x14ac:dyDescent="0.2">
      <c r="B25" s="1" t="s">
        <v>71</v>
      </c>
      <c r="C25" s="40">
        <v>202.77099999999996</v>
      </c>
      <c r="D25" s="40">
        <v>381.87599999999998</v>
      </c>
      <c r="E25" s="40">
        <v>440.86400000000003</v>
      </c>
      <c r="F25" s="40">
        <v>224.49</v>
      </c>
      <c r="G25" s="40">
        <v>-13.756</v>
      </c>
      <c r="H25" s="40">
        <v>-11.115999999999985</v>
      </c>
    </row>
    <row r="26" spans="1:9" ht="15" customHeight="1" outlineLevel="1" x14ac:dyDescent="0.2">
      <c r="B26" s="66" t="s">
        <v>185</v>
      </c>
      <c r="C26" s="67">
        <v>166.17599999999999</v>
      </c>
      <c r="D26" s="67">
        <v>1336.828</v>
      </c>
      <c r="E26" s="67">
        <v>2050.306</v>
      </c>
      <c r="F26" s="67">
        <v>3231.5590000000002</v>
      </c>
      <c r="G26" s="67">
        <v>-34.201999999999998</v>
      </c>
      <c r="H26" s="67">
        <v>301.12599999999998</v>
      </c>
    </row>
    <row r="27" spans="1:9" ht="15" customHeight="1" outlineLevel="1" x14ac:dyDescent="0.2">
      <c r="B27" s="1" t="s">
        <v>72</v>
      </c>
      <c r="C27" s="40">
        <v>-67.125</v>
      </c>
      <c r="D27" s="40">
        <v>-270.66500000000002</v>
      </c>
      <c r="E27" s="40">
        <v>-255.53800000000001</v>
      </c>
      <c r="F27" s="40">
        <v>216.83199999999999</v>
      </c>
      <c r="G27" s="40">
        <v>-339.37900000000002</v>
      </c>
      <c r="H27" s="40">
        <v>-215.34899999999999</v>
      </c>
    </row>
    <row r="28" spans="1:9" ht="15" customHeight="1" outlineLevel="1" x14ac:dyDescent="0.2">
      <c r="B28" s="46" t="s">
        <v>73</v>
      </c>
      <c r="C28" s="47">
        <v>99.051000000000002</v>
      </c>
      <c r="D28" s="47">
        <v>1066.163</v>
      </c>
      <c r="E28" s="47">
        <v>1794.768</v>
      </c>
      <c r="F28" s="47">
        <v>3448.3910000000001</v>
      </c>
      <c r="G28" s="47">
        <v>-373.58100000000002</v>
      </c>
      <c r="H28" s="47">
        <v>85.777000000000001</v>
      </c>
    </row>
    <row r="29" spans="1:9" ht="15" customHeight="1" outlineLevel="1" x14ac:dyDescent="0.2">
      <c r="A29" s="55" t="s">
        <v>164</v>
      </c>
      <c r="B29" s="48" t="s">
        <v>68</v>
      </c>
      <c r="C29" s="49">
        <f t="shared" ref="C29:H29" si="3">+C28/C$18</f>
        <v>1.8703597890111948E-2</v>
      </c>
      <c r="D29" s="49">
        <f t="shared" si="3"/>
        <v>8.2043172119805344E-2</v>
      </c>
      <c r="E29" s="49">
        <f t="shared" si="3"/>
        <v>8.4586606225219574E-2</v>
      </c>
      <c r="F29" s="49">
        <f t="shared" si="3"/>
        <v>0.11244083993435348</v>
      </c>
      <c r="G29" s="49">
        <f t="shared" si="3"/>
        <v>-4.0370088047144634E-2</v>
      </c>
      <c r="H29" s="49">
        <f t="shared" si="3"/>
        <v>4.7482768903555298E-3</v>
      </c>
    </row>
    <row r="32" spans="1:9" ht="20.100000000000001" customHeight="1" outlineLevel="1" x14ac:dyDescent="0.2">
      <c r="B32" s="32" t="s">
        <v>150</v>
      </c>
      <c r="C32" s="33"/>
      <c r="D32" s="33"/>
      <c r="E32" s="33"/>
      <c r="F32" s="33"/>
      <c r="G32" s="33"/>
      <c r="H32" s="33"/>
    </row>
    <row r="33" spans="1:8" outlineLevel="1" x14ac:dyDescent="0.2">
      <c r="B33" s="31" t="s">
        <v>65</v>
      </c>
      <c r="C33" s="35" t="s">
        <v>225</v>
      </c>
      <c r="D33" s="35" t="s">
        <v>227</v>
      </c>
      <c r="E33" s="35" t="s">
        <v>228</v>
      </c>
      <c r="F33" s="35" t="s">
        <v>236</v>
      </c>
      <c r="G33" s="35" t="s">
        <v>237</v>
      </c>
      <c r="H33" s="35" t="s">
        <v>240</v>
      </c>
    </row>
    <row r="34" spans="1:8" ht="15" customHeight="1" outlineLevel="1" x14ac:dyDescent="0.2">
      <c r="B34" s="9" t="s">
        <v>66</v>
      </c>
      <c r="C34" s="132">
        <f>+C18</f>
        <v>5295.826</v>
      </c>
      <c r="D34" s="37">
        <f t="shared" ref="D34:H35" si="4">+D18-C18</f>
        <v>7699.3200000000006</v>
      </c>
      <c r="E34" s="37">
        <f t="shared" si="4"/>
        <v>8222.9650000000001</v>
      </c>
      <c r="F34" s="37">
        <f t="shared" si="4"/>
        <v>9450.3809999999976</v>
      </c>
      <c r="G34" s="132">
        <f>+G18</f>
        <v>9253.9060000000009</v>
      </c>
      <c r="H34" s="37">
        <f t="shared" si="4"/>
        <v>8810.9629999999979</v>
      </c>
    </row>
    <row r="35" spans="1:8" ht="15" customHeight="1" outlineLevel="1" x14ac:dyDescent="0.2">
      <c r="B35" s="2" t="s">
        <v>67</v>
      </c>
      <c r="C35" s="133">
        <f>+C19</f>
        <v>300.72500000000002</v>
      </c>
      <c r="D35" s="4">
        <f t="shared" si="4"/>
        <v>1442.81</v>
      </c>
      <c r="E35" s="4">
        <f t="shared" si="4"/>
        <v>986.84500000000003</v>
      </c>
      <c r="F35" s="4">
        <f t="shared" si="4"/>
        <v>879.46099999999979</v>
      </c>
      <c r="G35" s="133">
        <f>+G19</f>
        <v>786.70600000000002</v>
      </c>
      <c r="H35" s="4">
        <f t="shared" si="4"/>
        <v>1318.569</v>
      </c>
    </row>
    <row r="36" spans="1:8" ht="15" customHeight="1" outlineLevel="1" x14ac:dyDescent="0.2">
      <c r="B36" s="22" t="s">
        <v>68</v>
      </c>
      <c r="C36" s="134">
        <f t="shared" ref="C36:D36" si="5">+C35/C34</f>
        <v>5.6785287129901933E-2</v>
      </c>
      <c r="D36" s="38">
        <f t="shared" si="5"/>
        <v>0.18739447120005401</v>
      </c>
      <c r="E36" s="38">
        <f t="shared" ref="E36:G36" si="6">+E35/E34</f>
        <v>0.12001084766869372</v>
      </c>
      <c r="F36" s="38">
        <f t="shared" si="6"/>
        <v>9.3060904105347717E-2</v>
      </c>
      <c r="G36" s="134">
        <f t="shared" si="6"/>
        <v>8.5013398666465803E-2</v>
      </c>
      <c r="H36" s="38">
        <f t="shared" ref="H36" si="7">+H35/H34</f>
        <v>0.14965095188800592</v>
      </c>
    </row>
    <row r="37" spans="1:8" ht="15" customHeight="1" outlineLevel="1" x14ac:dyDescent="0.2">
      <c r="B37" s="2" t="s">
        <v>69</v>
      </c>
      <c r="C37" s="133">
        <f>+C21</f>
        <v>-177.84700000000001</v>
      </c>
      <c r="D37" s="39">
        <f>+D21-C21</f>
        <v>765.03899999999999</v>
      </c>
      <c r="E37" s="39">
        <f>+E21-D21</f>
        <v>420.61</v>
      </c>
      <c r="F37" s="39">
        <f>+F21-E21</f>
        <v>1342.6109999999999</v>
      </c>
      <c r="G37" s="133">
        <f>+G21</f>
        <v>-138.31800000000001</v>
      </c>
      <c r="H37" s="39">
        <f>+H21-G21</f>
        <v>-360.84299999999996</v>
      </c>
    </row>
    <row r="38" spans="1:8" ht="15" customHeight="1" outlineLevel="1" x14ac:dyDescent="0.2">
      <c r="B38" s="22" t="s">
        <v>68</v>
      </c>
      <c r="C38" s="134">
        <f t="shared" ref="C38:D38" si="8">+C37/C34</f>
        <v>-3.3582485527281297E-2</v>
      </c>
      <c r="D38" s="38">
        <f t="shared" si="8"/>
        <v>9.9364489331525377E-2</v>
      </c>
      <c r="E38" s="38">
        <f t="shared" ref="E38:G38" si="9">+E37/E34</f>
        <v>5.1150649431196654E-2</v>
      </c>
      <c r="F38" s="38">
        <f t="shared" si="9"/>
        <v>0.14206951021339778</v>
      </c>
      <c r="G38" s="134">
        <f t="shared" si="9"/>
        <v>-1.4946985629635746E-2</v>
      </c>
      <c r="H38" s="38">
        <f t="shared" ref="H38" si="10">+H37/H34</f>
        <v>-4.0953866223249383E-2</v>
      </c>
    </row>
    <row r="39" spans="1:8" ht="15" customHeight="1" outlineLevel="1" x14ac:dyDescent="0.2">
      <c r="B39" s="2" t="s">
        <v>70</v>
      </c>
      <c r="C39" s="133">
        <f>+C23</f>
        <v>126.92400000000001</v>
      </c>
      <c r="D39" s="4">
        <f>+D23-C23</f>
        <v>1137.2060000000001</v>
      </c>
      <c r="E39" s="4">
        <f>+E23-D23</f>
        <v>705.37799999999993</v>
      </c>
      <c r="F39" s="4">
        <f>+F23-E23</f>
        <v>1440.2749999999999</v>
      </c>
      <c r="G39" s="133">
        <f>+G23</f>
        <v>249.387</v>
      </c>
      <c r="H39" s="4">
        <f>+H23-G23</f>
        <v>807.96400000000017</v>
      </c>
    </row>
    <row r="40" spans="1:8" ht="15" customHeight="1" outlineLevel="1" x14ac:dyDescent="0.2">
      <c r="B40" s="22" t="s">
        <v>68</v>
      </c>
      <c r="C40" s="134">
        <f t="shared" ref="C40:D40" si="11">+C39/C34</f>
        <v>2.3966799513428123E-2</v>
      </c>
      <c r="D40" s="38">
        <f t="shared" si="11"/>
        <v>0.1477021347339765</v>
      </c>
      <c r="E40" s="38">
        <f t="shared" ref="E40:G40" si="12">+E39/E34</f>
        <v>8.5781466903969539E-2</v>
      </c>
      <c r="F40" s="38">
        <f t="shared" si="12"/>
        <v>0.15240390837152493</v>
      </c>
      <c r="G40" s="134">
        <f t="shared" si="12"/>
        <v>2.6949376836116552E-2</v>
      </c>
      <c r="H40" s="38">
        <f t="shared" ref="H40" si="13">+H39/H34</f>
        <v>9.1699851650721989E-2</v>
      </c>
    </row>
    <row r="41" spans="1:8" ht="15" customHeight="1" outlineLevel="1" x14ac:dyDescent="0.2">
      <c r="B41" s="1" t="s">
        <v>71</v>
      </c>
      <c r="C41" s="135">
        <f>+C25</f>
        <v>202.77099999999996</v>
      </c>
      <c r="D41" s="40">
        <f t="shared" ref="D41:H44" si="14">+D25-C25</f>
        <v>179.10500000000002</v>
      </c>
      <c r="E41" s="40">
        <f t="shared" si="14"/>
        <v>58.988000000000056</v>
      </c>
      <c r="F41" s="40">
        <f t="shared" si="14"/>
        <v>-216.37400000000002</v>
      </c>
      <c r="G41" s="135">
        <f>+G25</f>
        <v>-13.756</v>
      </c>
      <c r="H41" s="40">
        <f t="shared" si="14"/>
        <v>2.6400000000000148</v>
      </c>
    </row>
    <row r="42" spans="1:8" ht="15" customHeight="1" outlineLevel="1" x14ac:dyDescent="0.2">
      <c r="B42" s="66" t="s">
        <v>185</v>
      </c>
      <c r="C42" s="136">
        <f>+C26</f>
        <v>166.17599999999999</v>
      </c>
      <c r="D42" s="68">
        <f t="shared" si="14"/>
        <v>1170.652</v>
      </c>
      <c r="E42" s="68">
        <f t="shared" si="14"/>
        <v>713.47800000000007</v>
      </c>
      <c r="F42" s="68">
        <f t="shared" si="14"/>
        <v>1181.2530000000002</v>
      </c>
      <c r="G42" s="136">
        <f>+G26</f>
        <v>-34.201999999999998</v>
      </c>
      <c r="H42" s="68">
        <f t="shared" si="14"/>
        <v>335.32799999999997</v>
      </c>
    </row>
    <row r="43" spans="1:8" ht="15" customHeight="1" outlineLevel="1" x14ac:dyDescent="0.2">
      <c r="B43" s="1" t="s">
        <v>72</v>
      </c>
      <c r="C43" s="135">
        <f>+C27</f>
        <v>-67.125</v>
      </c>
      <c r="D43" s="40">
        <f t="shared" si="14"/>
        <v>-203.54000000000002</v>
      </c>
      <c r="E43" s="40">
        <f t="shared" si="14"/>
        <v>15.12700000000001</v>
      </c>
      <c r="F43" s="40">
        <f t="shared" si="14"/>
        <v>472.37</v>
      </c>
      <c r="G43" s="135">
        <f>+G27</f>
        <v>-339.37900000000002</v>
      </c>
      <c r="H43" s="40">
        <f t="shared" si="14"/>
        <v>124.03000000000003</v>
      </c>
    </row>
    <row r="44" spans="1:8" ht="15" customHeight="1" outlineLevel="1" x14ac:dyDescent="0.2">
      <c r="B44" s="46" t="s">
        <v>73</v>
      </c>
      <c r="C44" s="47">
        <f>+C28</f>
        <v>99.051000000000002</v>
      </c>
      <c r="D44" s="47">
        <f t="shared" si="14"/>
        <v>967.11199999999997</v>
      </c>
      <c r="E44" s="47">
        <f t="shared" si="14"/>
        <v>728.60500000000002</v>
      </c>
      <c r="F44" s="47">
        <f t="shared" si="14"/>
        <v>1653.623</v>
      </c>
      <c r="G44" s="47">
        <f>+G28</f>
        <v>-373.58100000000002</v>
      </c>
      <c r="H44" s="47">
        <f t="shared" si="14"/>
        <v>459.358</v>
      </c>
    </row>
    <row r="45" spans="1:8" ht="15" customHeight="1" x14ac:dyDescent="0.2">
      <c r="A45" s="55" t="s">
        <v>164</v>
      </c>
      <c r="B45" s="48" t="s">
        <v>68</v>
      </c>
      <c r="C45" s="49">
        <f t="shared" ref="C45:D45" si="15">+C44/C34</f>
        <v>1.8703597890111948E-2</v>
      </c>
      <c r="D45" s="49">
        <f t="shared" si="15"/>
        <v>0.12561005387488763</v>
      </c>
      <c r="E45" s="49">
        <f t="shared" ref="E45:G45" si="16">+E44/E34</f>
        <v>8.8606117136580301E-2</v>
      </c>
      <c r="F45" s="49">
        <f t="shared" si="16"/>
        <v>0.17497950611726665</v>
      </c>
      <c r="G45" s="49">
        <f t="shared" si="16"/>
        <v>-4.0370088047144634E-2</v>
      </c>
      <c r="H45" s="49">
        <f t="shared" ref="H45" si="17">+H44/H34</f>
        <v>5.2134823401255928E-2</v>
      </c>
    </row>
    <row r="48" spans="1:8" ht="20.100000000000001" customHeight="1" outlineLevel="1" x14ac:dyDescent="0.2">
      <c r="B48" s="32" t="s">
        <v>151</v>
      </c>
      <c r="C48" s="33"/>
      <c r="D48" s="33"/>
      <c r="E48" s="33"/>
      <c r="F48" s="33"/>
      <c r="G48" s="33"/>
      <c r="H48" s="33"/>
    </row>
    <row r="49" spans="2:9" outlineLevel="1" x14ac:dyDescent="0.2">
      <c r="B49" s="34" t="s">
        <v>65</v>
      </c>
      <c r="C49" s="35" t="s">
        <v>233</v>
      </c>
      <c r="D49" s="35" t="s">
        <v>234</v>
      </c>
      <c r="E49" s="35" t="s">
        <v>235</v>
      </c>
      <c r="F49" s="35">
        <v>2022</v>
      </c>
      <c r="G49" s="35" t="s">
        <v>238</v>
      </c>
      <c r="H49" s="35" t="s">
        <v>239</v>
      </c>
    </row>
    <row r="50" spans="2:9" ht="15" customHeight="1" outlineLevel="1" x14ac:dyDescent="0.2">
      <c r="B50" s="42" t="s">
        <v>196</v>
      </c>
      <c r="C50" s="3">
        <v>1973.62</v>
      </c>
      <c r="D50" s="3">
        <v>4963.2749999999996</v>
      </c>
      <c r="E50" s="3">
        <v>7612.076</v>
      </c>
      <c r="F50" s="59">
        <v>10958.078</v>
      </c>
      <c r="G50" s="3">
        <v>2891.962</v>
      </c>
      <c r="H50" s="3">
        <v>6647.085</v>
      </c>
      <c r="I50" s="36"/>
    </row>
    <row r="51" spans="2:9" ht="15" customHeight="1" outlineLevel="1" x14ac:dyDescent="0.2">
      <c r="B51" s="24" t="s">
        <v>241</v>
      </c>
      <c r="C51" s="3">
        <v>3290.7370000000001</v>
      </c>
      <c r="D51" s="3">
        <v>7965.0780000000004</v>
      </c>
      <c r="E51" s="3">
        <v>13500.584999999999</v>
      </c>
      <c r="F51" s="59">
        <v>19561.572</v>
      </c>
      <c r="G51" s="3">
        <v>6303.0320000000002</v>
      </c>
      <c r="H51" s="3">
        <v>11299.17</v>
      </c>
      <c r="I51" s="36"/>
    </row>
    <row r="52" spans="2:9" ht="15" customHeight="1" outlineLevel="1" x14ac:dyDescent="0.2">
      <c r="B52" s="24" t="s">
        <v>200</v>
      </c>
      <c r="C52" s="3">
        <v>31.469000000000001</v>
      </c>
      <c r="D52" s="3">
        <v>66.793999999999997</v>
      </c>
      <c r="E52" s="3">
        <v>105.45</v>
      </c>
      <c r="F52" s="59">
        <v>148.84200000000001</v>
      </c>
      <c r="G52" s="3">
        <v>58.911999999999999</v>
      </c>
      <c r="H52" s="3">
        <v>118.61499999999999</v>
      </c>
      <c r="I52" s="36"/>
    </row>
    <row r="53" spans="2:9" ht="15" hidden="1" customHeight="1" outlineLevel="2" x14ac:dyDescent="0.2">
      <c r="B53" s="24"/>
      <c r="C53" s="3"/>
      <c r="D53" s="3"/>
      <c r="E53" s="3"/>
      <c r="F53" s="59"/>
      <c r="G53" s="3"/>
      <c r="H53" s="3"/>
      <c r="I53" s="36"/>
    </row>
    <row r="54" spans="2:9" ht="15" hidden="1" customHeight="1" outlineLevel="2" x14ac:dyDescent="0.2">
      <c r="B54" s="24"/>
      <c r="C54" s="3"/>
      <c r="D54" s="3"/>
      <c r="E54" s="3"/>
      <c r="F54" s="59"/>
      <c r="G54" s="3"/>
      <c r="H54" s="3"/>
      <c r="I54" s="36"/>
    </row>
    <row r="55" spans="2:9" ht="15" customHeight="1" outlineLevel="1" collapsed="1" x14ac:dyDescent="0.2">
      <c r="B55" s="43" t="s">
        <v>77</v>
      </c>
      <c r="C55" s="44">
        <f t="shared" ref="C55:H55" si="18">+SUM(C50:C52)</f>
        <v>5295.826</v>
      </c>
      <c r="D55" s="44">
        <f t="shared" si="18"/>
        <v>12995.146999999999</v>
      </c>
      <c r="E55" s="44">
        <f t="shared" si="18"/>
        <v>21218.111000000001</v>
      </c>
      <c r="F55" s="44">
        <f t="shared" si="18"/>
        <v>30668.492000000002</v>
      </c>
      <c r="G55" s="44">
        <f t="shared" si="18"/>
        <v>9253.9060000000009</v>
      </c>
      <c r="H55" s="44">
        <f t="shared" si="18"/>
        <v>18064.870000000003</v>
      </c>
      <c r="I55" s="36"/>
    </row>
    <row r="56" spans="2:9" ht="15" customHeight="1" outlineLevel="1" x14ac:dyDescent="0.2">
      <c r="B56" s="42" t="s">
        <v>196</v>
      </c>
      <c r="C56" s="3">
        <v>-457.58600000000001</v>
      </c>
      <c r="D56" s="3">
        <v>-153.15199999999999</v>
      </c>
      <c r="E56" s="3">
        <v>-333.68200000000002</v>
      </c>
      <c r="F56" s="59">
        <v>661.072</v>
      </c>
      <c r="G56" s="3">
        <v>136.68600000000001</v>
      </c>
      <c r="H56" s="3">
        <v>336.64400000000001</v>
      </c>
    </row>
    <row r="57" spans="2:9" ht="15" customHeight="1" outlineLevel="1" x14ac:dyDescent="0.2">
      <c r="B57" s="24" t="s">
        <v>241</v>
      </c>
      <c r="C57" s="3">
        <v>601.13599999999997</v>
      </c>
      <c r="D57" s="3">
        <v>1454.0340000000001</v>
      </c>
      <c r="E57" s="3">
        <v>2356.261</v>
      </c>
      <c r="F57" s="59">
        <v>2854.0039999999999</v>
      </c>
      <c r="G57" s="3">
        <v>154.52199999999999</v>
      </c>
      <c r="H57" s="3">
        <v>841.44799999999998</v>
      </c>
      <c r="I57" s="100"/>
    </row>
    <row r="58" spans="2:9" ht="15" customHeight="1" outlineLevel="1" x14ac:dyDescent="0.2">
      <c r="B58" s="24" t="s">
        <v>200</v>
      </c>
      <c r="C58" s="3">
        <v>-16.625</v>
      </c>
      <c r="D58" s="3">
        <v>-36.750999999999998</v>
      </c>
      <c r="E58" s="3">
        <v>-53.070999999999998</v>
      </c>
      <c r="F58" s="59">
        <v>-105.29300000000001</v>
      </c>
      <c r="G58" s="3">
        <v>-41.820999999999998</v>
      </c>
      <c r="H58" s="3">
        <v>-120.741</v>
      </c>
    </row>
    <row r="59" spans="2:9" ht="15" hidden="1" customHeight="1" outlineLevel="2" x14ac:dyDescent="0.2">
      <c r="B59" s="24"/>
      <c r="C59" s="3"/>
      <c r="D59" s="3"/>
      <c r="E59" s="3"/>
      <c r="F59" s="59"/>
      <c r="G59" s="3"/>
      <c r="H59" s="3"/>
    </row>
    <row r="60" spans="2:9" ht="15" hidden="1" customHeight="1" outlineLevel="2" x14ac:dyDescent="0.2">
      <c r="B60" s="24"/>
      <c r="C60" s="3"/>
      <c r="D60" s="3"/>
      <c r="E60" s="3"/>
      <c r="F60" s="59"/>
      <c r="G60" s="3"/>
      <c r="H60" s="3"/>
    </row>
    <row r="61" spans="2:9" ht="15" customHeight="1" outlineLevel="1" collapsed="1" x14ac:dyDescent="0.2">
      <c r="B61" s="43" t="s">
        <v>78</v>
      </c>
      <c r="C61" s="44">
        <f t="shared" ref="C61:H61" si="19">+SUM(C56:C58)</f>
        <v>126.92499999999995</v>
      </c>
      <c r="D61" s="44">
        <f t="shared" si="19"/>
        <v>1264.1310000000001</v>
      </c>
      <c r="E61" s="44">
        <f t="shared" si="19"/>
        <v>1969.508</v>
      </c>
      <c r="F61" s="44">
        <f t="shared" si="19"/>
        <v>3409.7829999999999</v>
      </c>
      <c r="G61" s="44">
        <f t="shared" si="19"/>
        <v>249.38699999999997</v>
      </c>
      <c r="H61" s="44">
        <f t="shared" si="19"/>
        <v>1057.3510000000001</v>
      </c>
      <c r="I61" s="100"/>
    </row>
    <row r="62" spans="2:9" ht="15" customHeight="1" outlineLevel="1" x14ac:dyDescent="0.2">
      <c r="B62" s="42" t="s">
        <v>196</v>
      </c>
      <c r="C62" s="3">
        <v>-638.34799999999996</v>
      </c>
      <c r="D62" s="3">
        <v>-425.815</v>
      </c>
      <c r="E62" s="3">
        <v>-704.59</v>
      </c>
      <c r="F62" s="59">
        <v>75.453000000000003</v>
      </c>
      <c r="G62" s="3">
        <v>-18.370999999999999</v>
      </c>
      <c r="H62" s="3">
        <v>-77.137</v>
      </c>
    </row>
    <row r="63" spans="2:9" ht="15" customHeight="1" outlineLevel="1" x14ac:dyDescent="0.2">
      <c r="B63" s="24" t="s">
        <v>241</v>
      </c>
      <c r="C63" s="3">
        <v>368.76400000000001</v>
      </c>
      <c r="D63" s="3">
        <v>890.51599999999996</v>
      </c>
      <c r="E63" s="3">
        <v>1668.75</v>
      </c>
      <c r="F63" s="59">
        <v>2698.2310000000002</v>
      </c>
      <c r="G63" s="3">
        <v>-381.15199999999999</v>
      </c>
      <c r="H63" s="3">
        <v>-581.65200000000004</v>
      </c>
      <c r="I63" s="100"/>
    </row>
    <row r="64" spans="2:9" ht="15" customHeight="1" outlineLevel="1" x14ac:dyDescent="0.2">
      <c r="B64" s="24" t="s">
        <v>200</v>
      </c>
      <c r="C64" s="3">
        <v>368.63499999999999</v>
      </c>
      <c r="D64" s="3">
        <v>601.46199999999999</v>
      </c>
      <c r="E64" s="3">
        <v>830.60599999999999</v>
      </c>
      <c r="F64" s="59">
        <v>674.70600000000002</v>
      </c>
      <c r="G64" s="3">
        <v>25.942</v>
      </c>
      <c r="H64" s="3">
        <v>744.56500000000005</v>
      </c>
    </row>
    <row r="65" spans="1:8" ht="15" hidden="1" customHeight="1" outlineLevel="2" x14ac:dyDescent="0.2">
      <c r="B65" s="24"/>
      <c r="C65" s="3"/>
      <c r="D65" s="3"/>
      <c r="E65" s="3"/>
      <c r="F65" s="59"/>
      <c r="G65" s="3"/>
      <c r="H65" s="3"/>
    </row>
    <row r="66" spans="1:8" ht="15" hidden="1" customHeight="1" outlineLevel="2" x14ac:dyDescent="0.2">
      <c r="B66" s="24"/>
      <c r="C66" s="3"/>
      <c r="D66" s="3"/>
      <c r="E66" s="3"/>
      <c r="F66" s="59"/>
      <c r="G66" s="3"/>
      <c r="H66" s="3"/>
    </row>
    <row r="67" spans="1:8" ht="15" customHeight="1" outlineLevel="1" collapsed="1" x14ac:dyDescent="0.2">
      <c r="A67" s="55" t="s">
        <v>164</v>
      </c>
      <c r="B67" s="43" t="s">
        <v>79</v>
      </c>
      <c r="C67" s="44">
        <f t="shared" ref="C67:H67" si="20">+SUM(C62:C64)</f>
        <v>99.051000000000045</v>
      </c>
      <c r="D67" s="44">
        <f t="shared" si="20"/>
        <v>1066.163</v>
      </c>
      <c r="E67" s="44">
        <f t="shared" si="20"/>
        <v>1794.7660000000001</v>
      </c>
      <c r="F67" s="44">
        <f t="shared" si="20"/>
        <v>3448.3900000000003</v>
      </c>
      <c r="G67" s="44">
        <f t="shared" si="20"/>
        <v>-373.58099999999996</v>
      </c>
      <c r="H67" s="44">
        <f t="shared" si="20"/>
        <v>85.776000000000067</v>
      </c>
    </row>
    <row r="68" spans="1:8" ht="15" customHeight="1" x14ac:dyDescent="0.2">
      <c r="B68" s="52"/>
    </row>
    <row r="69" spans="1:8" ht="15" customHeight="1" x14ac:dyDescent="0.2">
      <c r="B69" s="52"/>
    </row>
    <row r="70" spans="1:8" ht="20.100000000000001" customHeight="1" outlineLevel="1" x14ac:dyDescent="0.2">
      <c r="B70" s="32" t="s">
        <v>218</v>
      </c>
      <c r="C70" s="33"/>
      <c r="D70" s="33"/>
      <c r="E70" s="33"/>
      <c r="F70" s="33"/>
      <c r="G70" s="33"/>
      <c r="H70" s="33"/>
    </row>
    <row r="71" spans="1:8" ht="15" customHeight="1" outlineLevel="1" x14ac:dyDescent="0.2">
      <c r="B71" s="42" t="s">
        <v>196</v>
      </c>
      <c r="C71" s="90">
        <f>IFERROR(C56/C50,"a.d.")</f>
        <v>-0.23185111622298113</v>
      </c>
      <c r="D71" s="90">
        <f>IFERROR(D56/D50,"a.d.")</f>
        <v>-3.0857044995491887E-2</v>
      </c>
      <c r="E71" s="90">
        <f>IFERROR(E56/E50,"a.d.")</f>
        <v>-4.3835873420076207E-2</v>
      </c>
      <c r="F71" s="90">
        <f>IFERROR(F56/F50,"a.d.")</f>
        <v>6.0327367627790202E-2</v>
      </c>
      <c r="G71" s="90">
        <f>IFERROR(G56/G50,"a.d.")</f>
        <v>4.7264106513156122E-2</v>
      </c>
      <c r="H71" s="90">
        <f>IFERROR(H56/H50,"a.d.")</f>
        <v>5.0645358078014652E-2</v>
      </c>
    </row>
    <row r="72" spans="1:8" ht="15" customHeight="1" outlineLevel="1" x14ac:dyDescent="0.2">
      <c r="B72" s="24" t="s">
        <v>241</v>
      </c>
      <c r="C72" s="90">
        <f>IFERROR(C57/C51,"a.d.")</f>
        <v>0.18267518795941454</v>
      </c>
      <c r="D72" s="90">
        <f>IFERROR(D57/D51,"a.d.")</f>
        <v>0.18255113132602091</v>
      </c>
      <c r="E72" s="90">
        <f>IFERROR(E57/E51,"a.d.")</f>
        <v>0.17453028887266739</v>
      </c>
      <c r="F72" s="90">
        <f>IFERROR(F57/F51,"a.d.")</f>
        <v>0.14589849936395705</v>
      </c>
      <c r="G72" s="90">
        <f>IFERROR(G57/G51,"a.d.")</f>
        <v>2.4515503015056877E-2</v>
      </c>
      <c r="H72" s="90">
        <f>IFERROR(H57/H51,"a.d.")</f>
        <v>7.446989469137999E-2</v>
      </c>
    </row>
    <row r="73" spans="1:8" ht="15" customHeight="1" outlineLevel="1" x14ac:dyDescent="0.2">
      <c r="B73" s="24" t="s">
        <v>200</v>
      </c>
      <c r="C73" s="90">
        <f>IFERROR(C58/C52,"a.d.")</f>
        <v>-0.52829768978995195</v>
      </c>
      <c r="D73" s="90">
        <f>IFERROR(D58/D52,"a.d.")</f>
        <v>-0.5502140910860257</v>
      </c>
      <c r="E73" s="90">
        <f>IFERROR(E58/E52,"a.d.")</f>
        <v>-0.50328117591275479</v>
      </c>
      <c r="F73" s="90">
        <f>IFERROR(F58/F52,"a.d.")</f>
        <v>-0.70741457384340445</v>
      </c>
      <c r="G73" s="90">
        <f>IFERROR(G58/G52,"a.d.")</f>
        <v>-0.70988932645301461</v>
      </c>
      <c r="H73" s="90">
        <f>IFERROR(H58/H52,"a.d.")</f>
        <v>-1.0179235341230031</v>
      </c>
    </row>
    <row r="74" spans="1:8" ht="15" hidden="1" customHeight="1" outlineLevel="2" x14ac:dyDescent="0.2">
      <c r="B74" s="24"/>
      <c r="C74" s="90"/>
      <c r="D74" s="90"/>
      <c r="E74" s="90"/>
      <c r="F74" s="90"/>
      <c r="G74" s="90"/>
      <c r="H74" s="90"/>
    </row>
    <row r="75" spans="1:8" ht="15" hidden="1" customHeight="1" outlineLevel="2" x14ac:dyDescent="0.2">
      <c r="B75" s="24"/>
      <c r="C75" s="90"/>
      <c r="D75" s="90"/>
      <c r="E75" s="90"/>
      <c r="F75" s="90"/>
      <c r="G75" s="90"/>
      <c r="H75" s="90"/>
    </row>
    <row r="76" spans="1:8" ht="15" customHeight="1" outlineLevel="1" collapsed="1" x14ac:dyDescent="0.2">
      <c r="B76" s="43" t="s">
        <v>216</v>
      </c>
      <c r="C76" s="91">
        <f>IFERROR(C61/C55,"a.d.")</f>
        <v>2.3966988341384318E-2</v>
      </c>
      <c r="D76" s="91">
        <f>IFERROR(D61/D55,"a.d.")</f>
        <v>9.7277160466134022E-2</v>
      </c>
      <c r="E76" s="91">
        <f>IFERROR(E61/E55,"a.d.")</f>
        <v>9.2822023600498654E-2</v>
      </c>
      <c r="F76" s="91">
        <f>IFERROR(F61/F55,"a.d.")</f>
        <v>0.11118195834343599</v>
      </c>
      <c r="G76" s="91">
        <f>IFERROR(G61/G55,"a.d.")</f>
        <v>2.6949376836116548E-2</v>
      </c>
      <c r="H76" s="91">
        <f>IFERROR(H61/H55,"a.d.")</f>
        <v>5.8530783780896288E-2</v>
      </c>
    </row>
    <row r="77" spans="1:8" ht="15" customHeight="1" outlineLevel="1" x14ac:dyDescent="0.2">
      <c r="B77" s="42" t="s">
        <v>196</v>
      </c>
      <c r="C77" s="90">
        <f>IFERROR(C62/C50,"a.d.")</f>
        <v>-0.32344017592038993</v>
      </c>
      <c r="D77" s="90">
        <f>IFERROR(D62/D50,"a.d.")</f>
        <v>-8.5793150691831507E-2</v>
      </c>
      <c r="E77" s="90">
        <f>IFERROR(E62/E50,"a.d.")</f>
        <v>-9.2562134166815996E-2</v>
      </c>
      <c r="F77" s="90">
        <f>IFERROR(F62/F50,"a.d.")</f>
        <v>6.8856053041418397E-3</v>
      </c>
      <c r="G77" s="90">
        <f>IFERROR(G62/G50,"a.d.")</f>
        <v>-6.3524347830296521E-3</v>
      </c>
      <c r="H77" s="90">
        <f>IFERROR(H62/H50,"a.d.")</f>
        <v>-1.1604635716257578E-2</v>
      </c>
    </row>
    <row r="78" spans="1:8" ht="15" customHeight="1" outlineLevel="1" x14ac:dyDescent="0.2">
      <c r="B78" s="24" t="s">
        <v>241</v>
      </c>
      <c r="C78" s="90">
        <f>IFERROR(C63/C51,"a.d.")</f>
        <v>0.11206121911292212</v>
      </c>
      <c r="D78" s="90">
        <f>IFERROR(D63/D51,"a.d.")</f>
        <v>0.11180254606420677</v>
      </c>
      <c r="E78" s="90">
        <f>IFERROR(E63/E51,"a.d.")</f>
        <v>0.12360575486173378</v>
      </c>
      <c r="F78" s="90">
        <f>IFERROR(F63/F51,"a.d.")</f>
        <v>0.13793528454666118</v>
      </c>
      <c r="G78" s="90">
        <f>IFERROR(G63/G51,"a.d.")</f>
        <v>-6.0471214488519172E-2</v>
      </c>
      <c r="H78" s="90">
        <f>IFERROR(H63/H51,"a.d.")</f>
        <v>-5.1477409402637543E-2</v>
      </c>
    </row>
    <row r="79" spans="1:8" ht="15" customHeight="1" outlineLevel="1" x14ac:dyDescent="0.2">
      <c r="B79" s="24" t="s">
        <v>200</v>
      </c>
      <c r="C79" s="90">
        <f>IFERROR(C64/C52,"a.d.")</f>
        <v>11.714226699291366</v>
      </c>
      <c r="D79" s="90">
        <f>IFERROR(D64/D52,"a.d.")</f>
        <v>9.0047309638590303</v>
      </c>
      <c r="E79" s="90">
        <f>IFERROR(E64/E52,"a.d.")</f>
        <v>7.8767757230915123</v>
      </c>
      <c r="F79" s="90">
        <f>IFERROR(F64/F52,"a.d.")</f>
        <v>4.5330350304349576</v>
      </c>
      <c r="G79" s="90">
        <f>IFERROR(G64/G52,"a.d.")</f>
        <v>0.44035171102661597</v>
      </c>
      <c r="H79" s="90">
        <f>IFERROR(H64/H52,"a.d.")</f>
        <v>6.2771571892256466</v>
      </c>
    </row>
    <row r="80" spans="1:8" ht="15" hidden="1" customHeight="1" outlineLevel="2" x14ac:dyDescent="0.2">
      <c r="B80" s="24"/>
      <c r="C80" s="90"/>
      <c r="D80" s="90"/>
      <c r="E80" s="90"/>
      <c r="F80" s="90"/>
      <c r="G80" s="90"/>
      <c r="H80" s="90"/>
    </row>
    <row r="81" spans="1:8" ht="15" hidden="1" customHeight="1" outlineLevel="2" x14ac:dyDescent="0.2">
      <c r="B81" s="24"/>
      <c r="C81" s="90"/>
      <c r="D81" s="90"/>
      <c r="E81" s="90"/>
      <c r="F81" s="90"/>
      <c r="G81" s="90"/>
      <c r="H81" s="90"/>
    </row>
    <row r="82" spans="1:8" ht="15" customHeight="1" outlineLevel="1" collapsed="1" x14ac:dyDescent="0.2">
      <c r="A82" s="55" t="s">
        <v>164</v>
      </c>
      <c r="B82" s="43" t="s">
        <v>217</v>
      </c>
      <c r="C82" s="91">
        <f>IFERROR(C67/C55,"a.d.")</f>
        <v>1.8703597890111955E-2</v>
      </c>
      <c r="D82" s="91">
        <f>IFERROR(D67/D55,"a.d.")</f>
        <v>8.2043165806435281E-2</v>
      </c>
      <c r="E82" s="91">
        <f>IFERROR(E67/E55,"a.d.")</f>
        <v>8.4586511966121769E-2</v>
      </c>
      <c r="F82" s="91">
        <f>IFERROR(F67/F55,"a.d.")</f>
        <v>0.11244080732759863</v>
      </c>
      <c r="G82" s="91">
        <f>IFERROR(G67/G55,"a.d.")</f>
        <v>-4.0370088047144627E-2</v>
      </c>
      <c r="H82" s="91">
        <f>IFERROR(H67/H55,"a.d.")</f>
        <v>4.7482212714511675E-3</v>
      </c>
    </row>
    <row r="83" spans="1:8" ht="15" customHeight="1" x14ac:dyDescent="0.2">
      <c r="B83" s="52"/>
    </row>
    <row r="84" spans="1:8" ht="15" customHeight="1" x14ac:dyDescent="0.2">
      <c r="B84" s="52"/>
    </row>
    <row r="85" spans="1:8" ht="20.100000000000001" customHeight="1" outlineLevel="1" x14ac:dyDescent="0.2">
      <c r="B85" s="32" t="s">
        <v>152</v>
      </c>
      <c r="C85" s="33"/>
      <c r="D85" s="33"/>
      <c r="E85" s="33"/>
      <c r="F85" s="33"/>
      <c r="G85" s="33"/>
      <c r="H85" s="33"/>
    </row>
    <row r="86" spans="1:8" outlineLevel="1" x14ac:dyDescent="0.2">
      <c r="B86" s="34" t="s">
        <v>65</v>
      </c>
      <c r="C86" s="35" t="s">
        <v>225</v>
      </c>
      <c r="D86" s="35" t="s">
        <v>227</v>
      </c>
      <c r="E86" s="35" t="s">
        <v>228</v>
      </c>
      <c r="F86" s="35" t="s">
        <v>236</v>
      </c>
      <c r="G86" s="35" t="s">
        <v>237</v>
      </c>
      <c r="H86" s="35" t="s">
        <v>240</v>
      </c>
    </row>
    <row r="87" spans="1:8" ht="15" customHeight="1" outlineLevel="1" x14ac:dyDescent="0.2">
      <c r="B87" s="42" t="s">
        <v>196</v>
      </c>
      <c r="C87" s="132">
        <f>C50</f>
        <v>1973.62</v>
      </c>
      <c r="D87" s="37">
        <f t="shared" ref="D87:D89" si="21">D50-C50</f>
        <v>2989.6549999999997</v>
      </c>
      <c r="E87" s="37">
        <f t="shared" ref="E87:E89" si="22">E50-D50</f>
        <v>2648.8010000000004</v>
      </c>
      <c r="F87" s="37">
        <f t="shared" ref="F87:F89" si="23">F50-E50</f>
        <v>3346.0019999999995</v>
      </c>
      <c r="G87" s="132">
        <f>G50</f>
        <v>2891.962</v>
      </c>
      <c r="H87" s="37">
        <f t="shared" ref="H87:H89" si="24">H50-G50</f>
        <v>3755.123</v>
      </c>
    </row>
    <row r="88" spans="1:8" ht="15" customHeight="1" outlineLevel="1" x14ac:dyDescent="0.2">
      <c r="B88" s="24" t="s">
        <v>241</v>
      </c>
      <c r="C88" s="135">
        <f>C51</f>
        <v>3290.7370000000001</v>
      </c>
      <c r="D88" s="3">
        <f t="shared" si="21"/>
        <v>4674.3410000000003</v>
      </c>
      <c r="E88" s="3">
        <f t="shared" si="22"/>
        <v>5535.5069999999987</v>
      </c>
      <c r="F88" s="3">
        <f t="shared" si="23"/>
        <v>6060.987000000001</v>
      </c>
      <c r="G88" s="135">
        <f>G51</f>
        <v>6303.0320000000002</v>
      </c>
      <c r="H88" s="3">
        <f t="shared" si="24"/>
        <v>4996.1379999999999</v>
      </c>
    </row>
    <row r="89" spans="1:8" ht="15" customHeight="1" outlineLevel="1" x14ac:dyDescent="0.2">
      <c r="B89" s="24" t="s">
        <v>200</v>
      </c>
      <c r="C89" s="137">
        <f>C52</f>
        <v>31.469000000000001</v>
      </c>
      <c r="D89" s="13">
        <f t="shared" si="21"/>
        <v>35.324999999999996</v>
      </c>
      <c r="E89" s="13">
        <f t="shared" si="22"/>
        <v>38.656000000000006</v>
      </c>
      <c r="F89" s="13">
        <f t="shared" si="23"/>
        <v>43.39200000000001</v>
      </c>
      <c r="G89" s="137">
        <f>G52</f>
        <v>58.911999999999999</v>
      </c>
      <c r="H89" s="13">
        <f t="shared" si="24"/>
        <v>59.702999999999996</v>
      </c>
    </row>
    <row r="90" spans="1:8" ht="15" hidden="1" customHeight="1" outlineLevel="2" x14ac:dyDescent="0.2">
      <c r="B90" s="24"/>
      <c r="C90" s="99"/>
      <c r="D90" s="99"/>
      <c r="E90" s="99"/>
      <c r="F90" s="99"/>
      <c r="G90" s="99"/>
      <c r="H90" s="99"/>
    </row>
    <row r="91" spans="1:8" ht="15" hidden="1" customHeight="1" outlineLevel="2" x14ac:dyDescent="0.2">
      <c r="B91" s="24"/>
      <c r="C91" s="99"/>
      <c r="D91" s="99"/>
      <c r="E91" s="99"/>
      <c r="F91" s="99"/>
      <c r="G91" s="99"/>
      <c r="H91" s="99"/>
    </row>
    <row r="92" spans="1:8" ht="15" customHeight="1" outlineLevel="1" collapsed="1" x14ac:dyDescent="0.2">
      <c r="B92" s="43" t="s">
        <v>77</v>
      </c>
      <c r="C92" s="44">
        <f>+C55</f>
        <v>5295.826</v>
      </c>
      <c r="D92" s="44">
        <f>+D55-C55</f>
        <v>7699.320999999999</v>
      </c>
      <c r="E92" s="44">
        <f>+E55-D55</f>
        <v>8222.9640000000018</v>
      </c>
      <c r="F92" s="44">
        <f>+F55-E55</f>
        <v>9450.3810000000012</v>
      </c>
      <c r="G92" s="44">
        <f>+G55</f>
        <v>9253.9060000000009</v>
      </c>
      <c r="H92" s="44">
        <f>+H55-G55</f>
        <v>8810.9640000000018</v>
      </c>
    </row>
    <row r="93" spans="1:8" ht="15" customHeight="1" outlineLevel="1" x14ac:dyDescent="0.2">
      <c r="B93" s="42" t="s">
        <v>196</v>
      </c>
      <c r="C93" s="132">
        <f>C56</f>
        <v>-457.58600000000001</v>
      </c>
      <c r="D93" s="37">
        <f t="shared" ref="D93:D95" si="25">D56-C56</f>
        <v>304.43400000000003</v>
      </c>
      <c r="E93" s="37">
        <f t="shared" ref="E93:E95" si="26">E56-D56</f>
        <v>-180.53000000000003</v>
      </c>
      <c r="F93" s="37">
        <f t="shared" ref="F93:F95" si="27">F56-E56</f>
        <v>994.75400000000002</v>
      </c>
      <c r="G93" s="132">
        <f>G56</f>
        <v>136.68600000000001</v>
      </c>
      <c r="H93" s="37">
        <f t="shared" ref="H93:H95" si="28">H56-G56</f>
        <v>199.958</v>
      </c>
    </row>
    <row r="94" spans="1:8" ht="15" customHeight="1" outlineLevel="1" x14ac:dyDescent="0.2">
      <c r="B94" s="24" t="s">
        <v>241</v>
      </c>
      <c r="C94" s="135">
        <f>C57</f>
        <v>601.13599999999997</v>
      </c>
      <c r="D94" s="3">
        <f t="shared" si="25"/>
        <v>852.89800000000014</v>
      </c>
      <c r="E94" s="3">
        <f t="shared" si="26"/>
        <v>902.22699999999986</v>
      </c>
      <c r="F94" s="3">
        <f t="shared" si="27"/>
        <v>497.74299999999994</v>
      </c>
      <c r="G94" s="135">
        <f>G57</f>
        <v>154.52199999999999</v>
      </c>
      <c r="H94" s="3">
        <f t="shared" si="28"/>
        <v>686.92599999999993</v>
      </c>
    </row>
    <row r="95" spans="1:8" ht="15" customHeight="1" outlineLevel="1" x14ac:dyDescent="0.2">
      <c r="B95" s="24" t="s">
        <v>200</v>
      </c>
      <c r="C95" s="137">
        <f>C58</f>
        <v>-16.625</v>
      </c>
      <c r="D95" s="13">
        <f t="shared" si="25"/>
        <v>-20.125999999999998</v>
      </c>
      <c r="E95" s="13">
        <f t="shared" si="26"/>
        <v>-16.32</v>
      </c>
      <c r="F95" s="13">
        <f t="shared" si="27"/>
        <v>-52.222000000000008</v>
      </c>
      <c r="G95" s="137">
        <f>G58</f>
        <v>-41.820999999999998</v>
      </c>
      <c r="H95" s="13">
        <f t="shared" si="28"/>
        <v>-78.92</v>
      </c>
    </row>
    <row r="96" spans="1:8" ht="15" hidden="1" customHeight="1" outlineLevel="2" x14ac:dyDescent="0.2">
      <c r="B96" s="24"/>
      <c r="C96" s="99"/>
      <c r="D96" s="99"/>
      <c r="E96" s="99"/>
      <c r="F96" s="99"/>
      <c r="G96" s="99"/>
      <c r="H96" s="99"/>
    </row>
    <row r="97" spans="1:8" ht="15" hidden="1" customHeight="1" outlineLevel="2" x14ac:dyDescent="0.2">
      <c r="B97" s="24"/>
      <c r="C97" s="99"/>
      <c r="D97" s="99"/>
      <c r="E97" s="99"/>
      <c r="F97" s="99"/>
      <c r="G97" s="99"/>
      <c r="H97" s="99"/>
    </row>
    <row r="98" spans="1:8" ht="15" customHeight="1" outlineLevel="1" collapsed="1" x14ac:dyDescent="0.2">
      <c r="B98" s="43" t="s">
        <v>78</v>
      </c>
      <c r="C98" s="44">
        <f>+C61</f>
        <v>126.92499999999995</v>
      </c>
      <c r="D98" s="44">
        <f>+D61-C61</f>
        <v>1137.2060000000001</v>
      </c>
      <c r="E98" s="44">
        <f>+E61-D61</f>
        <v>705.37699999999995</v>
      </c>
      <c r="F98" s="44">
        <f>+F61-E61</f>
        <v>1440.2749999999999</v>
      </c>
      <c r="G98" s="44">
        <f>+G61</f>
        <v>249.38699999999997</v>
      </c>
      <c r="H98" s="44">
        <f>+H61-G61</f>
        <v>807.96400000000017</v>
      </c>
    </row>
    <row r="99" spans="1:8" ht="15" customHeight="1" outlineLevel="1" x14ac:dyDescent="0.2">
      <c r="B99" s="42" t="s">
        <v>196</v>
      </c>
      <c r="C99" s="132">
        <f>C62</f>
        <v>-638.34799999999996</v>
      </c>
      <c r="D99" s="37">
        <f t="shared" ref="D99:D101" si="29">D62-C62</f>
        <v>212.53299999999996</v>
      </c>
      <c r="E99" s="37">
        <f t="shared" ref="E99:E101" si="30">E62-D62</f>
        <v>-278.77500000000003</v>
      </c>
      <c r="F99" s="37">
        <f t="shared" ref="F99:F101" si="31">F62-E62</f>
        <v>780.04300000000001</v>
      </c>
      <c r="G99" s="132">
        <f>G62</f>
        <v>-18.370999999999999</v>
      </c>
      <c r="H99" s="37">
        <f t="shared" ref="H99:H101" si="32">H62-G62</f>
        <v>-58.766000000000005</v>
      </c>
    </row>
    <row r="100" spans="1:8" ht="15" customHeight="1" outlineLevel="1" x14ac:dyDescent="0.2">
      <c r="B100" s="24" t="s">
        <v>241</v>
      </c>
      <c r="C100" s="135">
        <f>C63</f>
        <v>368.76400000000001</v>
      </c>
      <c r="D100" s="3">
        <f t="shared" si="29"/>
        <v>521.75199999999995</v>
      </c>
      <c r="E100" s="3">
        <f t="shared" si="30"/>
        <v>778.23400000000004</v>
      </c>
      <c r="F100" s="3">
        <f t="shared" si="31"/>
        <v>1029.4810000000002</v>
      </c>
      <c r="G100" s="135">
        <f>G63</f>
        <v>-381.15199999999999</v>
      </c>
      <c r="H100" s="3">
        <f t="shared" si="32"/>
        <v>-200.50000000000006</v>
      </c>
    </row>
    <row r="101" spans="1:8" ht="15" customHeight="1" outlineLevel="1" x14ac:dyDescent="0.2">
      <c r="B101" s="24" t="s">
        <v>200</v>
      </c>
      <c r="C101" s="137">
        <f>C64</f>
        <v>368.63499999999999</v>
      </c>
      <c r="D101" s="13">
        <f t="shared" si="29"/>
        <v>232.827</v>
      </c>
      <c r="E101" s="13">
        <f t="shared" si="30"/>
        <v>229.14400000000001</v>
      </c>
      <c r="F101" s="13">
        <f t="shared" si="31"/>
        <v>-155.89999999999998</v>
      </c>
      <c r="G101" s="137">
        <f>G64</f>
        <v>25.942</v>
      </c>
      <c r="H101" s="13">
        <f t="shared" si="32"/>
        <v>718.62300000000005</v>
      </c>
    </row>
    <row r="102" spans="1:8" ht="15" hidden="1" customHeight="1" outlineLevel="2" x14ac:dyDescent="0.2">
      <c r="B102" s="24"/>
      <c r="C102" s="99"/>
      <c r="D102" s="99"/>
      <c r="E102" s="99"/>
      <c r="F102" s="99"/>
      <c r="G102" s="99"/>
      <c r="H102" s="99"/>
    </row>
    <row r="103" spans="1:8" ht="15" hidden="1" customHeight="1" outlineLevel="2" x14ac:dyDescent="0.2">
      <c r="B103" s="24"/>
      <c r="C103" s="99"/>
      <c r="D103" s="99"/>
      <c r="E103" s="99"/>
      <c r="F103" s="99"/>
      <c r="G103" s="99"/>
      <c r="H103" s="99"/>
    </row>
    <row r="104" spans="1:8" ht="15" customHeight="1" outlineLevel="1" collapsed="1" x14ac:dyDescent="0.2">
      <c r="A104" s="55" t="s">
        <v>164</v>
      </c>
      <c r="B104" s="43" t="s">
        <v>79</v>
      </c>
      <c r="C104" s="44">
        <f>+C67</f>
        <v>99.051000000000045</v>
      </c>
      <c r="D104" s="44">
        <f>+D67-C67</f>
        <v>967.11199999999997</v>
      </c>
      <c r="E104" s="44">
        <f>+E67-D67</f>
        <v>728.60300000000007</v>
      </c>
      <c r="F104" s="44">
        <f>+F67-E67</f>
        <v>1653.6240000000003</v>
      </c>
      <c r="G104" s="44">
        <f>+G67</f>
        <v>-373.58099999999996</v>
      </c>
      <c r="H104" s="44">
        <f>+H67-G67</f>
        <v>459.35700000000003</v>
      </c>
    </row>
    <row r="107" spans="1:8" ht="21" customHeight="1" outlineLevel="1" x14ac:dyDescent="0.2">
      <c r="B107" s="32" t="s">
        <v>215</v>
      </c>
      <c r="C107" s="33"/>
      <c r="D107" s="33"/>
      <c r="E107" s="33"/>
      <c r="F107" s="33"/>
      <c r="G107" s="33"/>
      <c r="H107" s="33"/>
    </row>
    <row r="108" spans="1:8" ht="15" customHeight="1" outlineLevel="1" x14ac:dyDescent="0.2">
      <c r="B108" s="42" t="s">
        <v>196</v>
      </c>
      <c r="C108" s="90">
        <f>IFERROR(C93/C87,"a.d.")</f>
        <v>-0.23185111622298113</v>
      </c>
      <c r="D108" s="90">
        <f>IFERROR(D93/D87,"a.d.")</f>
        <v>0.10182914082059637</v>
      </c>
      <c r="E108" s="90">
        <f>IFERROR(E93/E87,"a.d.")</f>
        <v>-6.8155365389849981E-2</v>
      </c>
      <c r="F108" s="90">
        <f>IFERROR(F93/F87,"a.d.")</f>
        <v>0.29729629569856808</v>
      </c>
      <c r="G108" s="90">
        <f>IFERROR(G93/G87,"a.d.")</f>
        <v>4.7264106513156122E-2</v>
      </c>
      <c r="H108" s="90">
        <f>IFERROR(H93/H87,"a.d.")</f>
        <v>5.324938756999438E-2</v>
      </c>
    </row>
    <row r="109" spans="1:8" ht="15" customHeight="1" outlineLevel="1" x14ac:dyDescent="0.2">
      <c r="B109" s="24" t="s">
        <v>241</v>
      </c>
      <c r="C109" s="90">
        <f>IFERROR(C94/C88,"a.d.")</f>
        <v>0.18267518795941454</v>
      </c>
      <c r="D109" s="90">
        <f>IFERROR(D94/D88,"a.d.")</f>
        <v>0.18246379543127045</v>
      </c>
      <c r="E109" s="90">
        <f>IFERROR(E94/E88,"a.d.")</f>
        <v>0.1629890450865657</v>
      </c>
      <c r="F109" s="90">
        <f>IFERROR(F94/F88,"a.d.")</f>
        <v>8.2122433194461539E-2</v>
      </c>
      <c r="G109" s="90">
        <f>IFERROR(G94/G88,"a.d.")</f>
        <v>2.4515503015056877E-2</v>
      </c>
      <c r="H109" s="90">
        <f>IFERROR(H94/H88,"a.d.")</f>
        <v>0.13749139835609023</v>
      </c>
    </row>
    <row r="110" spans="1:8" ht="15" customHeight="1" outlineLevel="1" x14ac:dyDescent="0.2">
      <c r="B110" s="24" t="s">
        <v>200</v>
      </c>
      <c r="C110" s="90">
        <f>IFERROR(C95/C89,"a.d.")</f>
        <v>-0.52829768978995195</v>
      </c>
      <c r="D110" s="90">
        <f>IFERROR(D95/D89,"a.d.")</f>
        <v>-0.5697381457891012</v>
      </c>
      <c r="E110" s="90">
        <f>IFERROR(E95/E89,"a.d.")</f>
        <v>-0.42218543046357609</v>
      </c>
      <c r="F110" s="90">
        <f>IFERROR(F95/F89,"a.d.")</f>
        <v>-1.2034937315634218</v>
      </c>
      <c r="G110" s="90">
        <f>IFERROR(G95/G89,"a.d.")</f>
        <v>-0.70988932645301461</v>
      </c>
      <c r="H110" s="90">
        <f>IFERROR(H95/H89,"a.d.")</f>
        <v>-1.3218766226152792</v>
      </c>
    </row>
    <row r="111" spans="1:8" ht="15" hidden="1" customHeight="1" outlineLevel="2" x14ac:dyDescent="0.2">
      <c r="B111" s="24"/>
      <c r="C111" s="90"/>
      <c r="D111" s="90"/>
      <c r="E111" s="90"/>
      <c r="F111" s="90"/>
      <c r="G111" s="90"/>
      <c r="H111" s="90"/>
    </row>
    <row r="112" spans="1:8" ht="15" hidden="1" customHeight="1" outlineLevel="2" x14ac:dyDescent="0.2">
      <c r="B112" s="24"/>
      <c r="C112" s="90"/>
      <c r="D112" s="90"/>
      <c r="E112" s="90"/>
      <c r="F112" s="90"/>
      <c r="G112" s="90"/>
      <c r="H112" s="90"/>
    </row>
    <row r="113" spans="1:8" ht="15" customHeight="1" outlineLevel="1" collapsed="1" x14ac:dyDescent="0.2">
      <c r="B113" s="43" t="s">
        <v>216</v>
      </c>
      <c r="C113" s="91">
        <f>IFERROR(C98/C92,"a.d.")</f>
        <v>2.3966988341384318E-2</v>
      </c>
      <c r="D113" s="91">
        <f>IFERROR(D98/D92,"a.d.")</f>
        <v>0.14770211555018947</v>
      </c>
      <c r="E113" s="91">
        <f>IFERROR(E98/E92,"a.d.")</f>
        <v>8.5781355725259134E-2</v>
      </c>
      <c r="F113" s="91">
        <f>IFERROR(F98/F92,"a.d.")</f>
        <v>0.15240390837152487</v>
      </c>
      <c r="G113" s="91">
        <f>IFERROR(G98/G92,"a.d.")</f>
        <v>2.6949376836116548E-2</v>
      </c>
      <c r="H113" s="91">
        <f>IFERROR(H98/H92,"a.d.")</f>
        <v>9.1699841243251021E-2</v>
      </c>
    </row>
    <row r="114" spans="1:8" ht="15" customHeight="1" outlineLevel="1" x14ac:dyDescent="0.2">
      <c r="B114" s="42" t="s">
        <v>196</v>
      </c>
      <c r="C114" s="90">
        <f>IFERROR(C99/C87,"a.d.")</f>
        <v>-0.32344017592038993</v>
      </c>
      <c r="D114" s="90">
        <f>IFERROR(D99/D87,"a.d.")</f>
        <v>7.1089473534571707E-2</v>
      </c>
      <c r="E114" s="90">
        <f>IFERROR(E99/E87,"a.d.")</f>
        <v>-0.10524573193682726</v>
      </c>
      <c r="F114" s="90">
        <f>IFERROR(F99/F87,"a.d.")</f>
        <v>0.23312687798752066</v>
      </c>
      <c r="G114" s="90">
        <f>IFERROR(G99/G87,"a.d.")</f>
        <v>-6.3524347830296521E-3</v>
      </c>
      <c r="H114" s="90">
        <f>IFERROR(H99/H87,"a.d.")</f>
        <v>-1.5649553956022213E-2</v>
      </c>
    </row>
    <row r="115" spans="1:8" ht="15" customHeight="1" outlineLevel="1" x14ac:dyDescent="0.2">
      <c r="B115" s="24" t="s">
        <v>241</v>
      </c>
      <c r="C115" s="90">
        <f>IFERROR(C100/C88,"a.d.")</f>
        <v>0.11206121911292212</v>
      </c>
      <c r="D115" s="90">
        <f>IFERROR(D100/D88,"a.d.")</f>
        <v>0.11162044018611392</v>
      </c>
      <c r="E115" s="90">
        <f>IFERROR(E100/E88,"a.d.")</f>
        <v>0.14058947084702453</v>
      </c>
      <c r="F115" s="90">
        <f>IFERROR(F100/F88,"a.d.")</f>
        <v>0.16985368884638757</v>
      </c>
      <c r="G115" s="90">
        <f>IFERROR(G100/G88,"a.d.")</f>
        <v>-6.0471214488519172E-2</v>
      </c>
      <c r="H115" s="90">
        <f>IFERROR(H100/H88,"a.d.")</f>
        <v>-4.0130997182223564E-2</v>
      </c>
    </row>
    <row r="116" spans="1:8" ht="15" customHeight="1" outlineLevel="1" x14ac:dyDescent="0.2">
      <c r="B116" s="24" t="s">
        <v>200</v>
      </c>
      <c r="C116" s="90">
        <f>IFERROR(C101/C89,"a.d.")</f>
        <v>11.714226699291366</v>
      </c>
      <c r="D116" s="90">
        <f>IFERROR(D101/D89,"a.d.")</f>
        <v>6.5909978768577506</v>
      </c>
      <c r="E116" s="90">
        <f>IFERROR(E101/E89,"a.d.")</f>
        <v>5.9277731788079464</v>
      </c>
      <c r="F116" s="90">
        <f>IFERROR(F101/F89,"a.d.")</f>
        <v>-3.592828171091444</v>
      </c>
      <c r="G116" s="90">
        <f>IFERROR(G101/G89,"a.d.")</f>
        <v>0.44035171102661597</v>
      </c>
      <c r="H116" s="90">
        <f>IFERROR(H101/H89,"a.d.")</f>
        <v>12.036631325059044</v>
      </c>
    </row>
    <row r="117" spans="1:8" ht="15" hidden="1" customHeight="1" outlineLevel="2" x14ac:dyDescent="0.2">
      <c r="B117" s="24"/>
      <c r="C117" s="90"/>
      <c r="D117" s="90"/>
      <c r="E117" s="90"/>
      <c r="F117" s="90"/>
      <c r="G117" s="90"/>
      <c r="H117" s="90"/>
    </row>
    <row r="118" spans="1:8" ht="15" hidden="1" customHeight="1" outlineLevel="2" x14ac:dyDescent="0.2">
      <c r="B118" s="24"/>
      <c r="C118" s="90"/>
      <c r="D118" s="90"/>
      <c r="E118" s="90"/>
      <c r="F118" s="90"/>
      <c r="G118" s="90"/>
      <c r="H118" s="90"/>
    </row>
    <row r="119" spans="1:8" ht="15" customHeight="1" outlineLevel="1" collapsed="1" x14ac:dyDescent="0.2">
      <c r="A119" s="55" t="s">
        <v>164</v>
      </c>
      <c r="B119" s="43" t="s">
        <v>217</v>
      </c>
      <c r="C119" s="91">
        <f>IFERROR(C104/C92,"a.d.")</f>
        <v>1.8703597890111955E-2</v>
      </c>
      <c r="D119" s="91">
        <f>IFERROR(D104/D92,"a.d.")</f>
        <v>0.12561003756045502</v>
      </c>
      <c r="E119" s="91">
        <f>IFERROR(E104/E92,"a.d.")</f>
        <v>8.8605884690727083E-2</v>
      </c>
      <c r="F119" s="91">
        <f>IFERROR(F104/F92,"a.d.")</f>
        <v>0.17497961193310618</v>
      </c>
      <c r="G119" s="91">
        <f>IFERROR(G104/G92,"a.d.")</f>
        <v>-4.0370088047144627E-2</v>
      </c>
      <c r="H119" s="91">
        <f>IFERROR(H104/H92,"a.d.")</f>
        <v>5.2134703989257014E-2</v>
      </c>
    </row>
    <row r="122" spans="1:8" ht="20.100000000000001" customHeight="1" outlineLevel="1" x14ac:dyDescent="0.2">
      <c r="B122" s="32" t="s">
        <v>111</v>
      </c>
      <c r="C122" s="33"/>
      <c r="D122" s="33"/>
      <c r="E122" s="33"/>
      <c r="F122" s="33"/>
      <c r="G122" s="33"/>
      <c r="H122" s="33"/>
    </row>
    <row r="123" spans="1:8" outlineLevel="1" x14ac:dyDescent="0.2">
      <c r="B123" s="34" t="s">
        <v>65</v>
      </c>
      <c r="C123" s="35" t="s">
        <v>233</v>
      </c>
      <c r="D123" s="35" t="s">
        <v>234</v>
      </c>
      <c r="E123" s="35" t="s">
        <v>235</v>
      </c>
      <c r="F123" s="35">
        <v>2022</v>
      </c>
      <c r="G123" s="35" t="s">
        <v>238</v>
      </c>
      <c r="H123" s="35" t="s">
        <v>239</v>
      </c>
    </row>
    <row r="124" spans="1:8" ht="15" customHeight="1" outlineLevel="1" x14ac:dyDescent="0.2">
      <c r="B124" s="42" t="s">
        <v>112</v>
      </c>
      <c r="C124" s="3">
        <v>3244.9789999999998</v>
      </c>
      <c r="D124" s="3">
        <v>3463.4070000000002</v>
      </c>
      <c r="E124" s="3">
        <v>4145.6509999999998</v>
      </c>
      <c r="F124" s="3">
        <v>4151.5309999999999</v>
      </c>
      <c r="G124" s="3">
        <v>5544.2529999999997</v>
      </c>
      <c r="H124" s="3">
        <v>2573.1190000000001</v>
      </c>
    </row>
    <row r="125" spans="1:8" ht="15" customHeight="1" outlineLevel="1" x14ac:dyDescent="0.2">
      <c r="B125" s="24" t="s">
        <v>113</v>
      </c>
      <c r="C125" s="3">
        <v>4536.63</v>
      </c>
      <c r="D125" s="3">
        <v>4348.6239999999998</v>
      </c>
      <c r="E125" s="3">
        <v>4713.1570000000002</v>
      </c>
      <c r="F125" s="3">
        <v>4152.3290000000006</v>
      </c>
      <c r="G125" s="3">
        <v>4637.3339999999998</v>
      </c>
      <c r="H125" s="3">
        <v>4948.7999999999993</v>
      </c>
    </row>
    <row r="126" spans="1:8" ht="15" customHeight="1" outlineLevel="1" x14ac:dyDescent="0.2">
      <c r="B126" s="24" t="s">
        <v>114</v>
      </c>
      <c r="C126" s="3">
        <v>5211.5609999999997</v>
      </c>
      <c r="D126" s="3">
        <v>5635.7030000000004</v>
      </c>
      <c r="E126" s="3">
        <v>7538.3519999999999</v>
      </c>
      <c r="F126" s="3">
        <v>7930.8729999999996</v>
      </c>
      <c r="G126" s="3">
        <v>5614.4470000000001</v>
      </c>
      <c r="H126" s="3">
        <v>6735.6790000000001</v>
      </c>
    </row>
    <row r="127" spans="1:8" ht="15" customHeight="1" outlineLevel="1" x14ac:dyDescent="0.2">
      <c r="B127" s="24" t="s">
        <v>115</v>
      </c>
      <c r="C127" s="3">
        <v>3694.7330000000002</v>
      </c>
      <c r="D127" s="3">
        <v>4016.694</v>
      </c>
      <c r="E127" s="3">
        <v>4231.1980000000003</v>
      </c>
      <c r="F127" s="3">
        <v>4455.0129999999999</v>
      </c>
      <c r="G127" s="3">
        <v>4642.3789999999999</v>
      </c>
      <c r="H127" s="3">
        <v>5536.4009999999998</v>
      </c>
    </row>
    <row r="128" spans="1:8" ht="15" customHeight="1" outlineLevel="1" x14ac:dyDescent="0.2">
      <c r="B128" s="24" t="s">
        <v>116</v>
      </c>
      <c r="C128" s="3">
        <v>155.48599999999999</v>
      </c>
      <c r="D128" s="3">
        <v>161.39599999999999</v>
      </c>
      <c r="E128" s="3">
        <v>161.63</v>
      </c>
      <c r="F128" s="3">
        <v>165.607</v>
      </c>
      <c r="G128" s="3">
        <v>165.95500000000001</v>
      </c>
      <c r="H128" s="3">
        <v>188.83099999999999</v>
      </c>
    </row>
    <row r="129" spans="1:8" ht="15" customHeight="1" outlineLevel="1" x14ac:dyDescent="0.2">
      <c r="B129" s="43" t="s">
        <v>117</v>
      </c>
      <c r="C129" s="44">
        <v>25796.663</v>
      </c>
      <c r="D129" s="44">
        <v>27998.074000000001</v>
      </c>
      <c r="E129" s="44">
        <v>32051.028999999999</v>
      </c>
      <c r="F129" s="44">
        <v>32187.365000000002</v>
      </c>
      <c r="G129" s="44">
        <v>32102.022000000001</v>
      </c>
      <c r="H129" s="44">
        <v>35845.779000000002</v>
      </c>
    </row>
    <row r="130" spans="1:8" ht="15" customHeight="1" outlineLevel="1" x14ac:dyDescent="0.2">
      <c r="B130" s="24" t="s">
        <v>118</v>
      </c>
      <c r="C130" s="3">
        <v>7909.4629999999997</v>
      </c>
      <c r="D130" s="3">
        <v>8526.3469999999998</v>
      </c>
      <c r="E130" s="3">
        <v>10107.763999999999</v>
      </c>
      <c r="F130" s="3">
        <v>10566.300999999999</v>
      </c>
      <c r="G130" s="3">
        <v>9784.0049999999992</v>
      </c>
      <c r="H130" s="3">
        <v>10280.217000000001</v>
      </c>
    </row>
    <row r="131" spans="1:8" ht="15" customHeight="1" outlineLevel="1" x14ac:dyDescent="0.2">
      <c r="B131" s="24" t="s">
        <v>119</v>
      </c>
      <c r="C131" s="3">
        <v>4312.2710000000006</v>
      </c>
      <c r="D131" s="3">
        <v>4697.9560000000001</v>
      </c>
      <c r="E131" s="3">
        <v>5145.9340000000002</v>
      </c>
      <c r="F131" s="3">
        <v>2545.9650000000001</v>
      </c>
      <c r="G131" s="3">
        <v>2928.991</v>
      </c>
      <c r="H131" s="3">
        <v>4069.3530000000001</v>
      </c>
    </row>
    <row r="132" spans="1:8" ht="15" customHeight="1" outlineLevel="1" x14ac:dyDescent="0.2">
      <c r="B132" s="24" t="s">
        <v>120</v>
      </c>
      <c r="C132" s="3">
        <v>314.48099999999999</v>
      </c>
      <c r="D132" s="3">
        <v>332.51499999999999</v>
      </c>
      <c r="E132" s="3">
        <v>287.86099999999999</v>
      </c>
      <c r="F132" s="3">
        <v>1997.2250000000001</v>
      </c>
      <c r="G132" s="3">
        <v>2022.34</v>
      </c>
      <c r="H132" s="3">
        <v>2421.973</v>
      </c>
    </row>
    <row r="133" spans="1:8" ht="15" customHeight="1" outlineLevel="1" x14ac:dyDescent="0.2">
      <c r="B133" s="24" t="s">
        <v>121</v>
      </c>
      <c r="C133" s="3">
        <v>7733.6239999999998</v>
      </c>
      <c r="D133" s="3">
        <v>8955.8230000000003</v>
      </c>
      <c r="E133" s="3">
        <v>9672.8349999999991</v>
      </c>
      <c r="F133" s="3">
        <v>10590.2</v>
      </c>
      <c r="G133" s="3">
        <v>10361.142</v>
      </c>
      <c r="H133" s="3">
        <v>11232.072</v>
      </c>
    </row>
    <row r="134" spans="1:8" ht="15" customHeight="1" outlineLevel="1" x14ac:dyDescent="0.2">
      <c r="A134" s="55" t="s">
        <v>164</v>
      </c>
      <c r="B134" s="43" t="s">
        <v>122</v>
      </c>
      <c r="C134" s="44">
        <v>25796.662</v>
      </c>
      <c r="D134" s="44">
        <v>27998.076000000001</v>
      </c>
      <c r="E134" s="44">
        <v>32051.03</v>
      </c>
      <c r="F134" s="44">
        <v>32187.363000000001</v>
      </c>
      <c r="G134" s="44">
        <v>32102.021000000001</v>
      </c>
      <c r="H134" s="44">
        <v>35845.777999999998</v>
      </c>
    </row>
    <row r="137" spans="1:8" ht="19.5" customHeight="1" outlineLevel="1" x14ac:dyDescent="0.2">
      <c r="B137" s="32" t="s">
        <v>154</v>
      </c>
      <c r="C137" s="33"/>
      <c r="D137" s="33"/>
      <c r="E137" s="33"/>
      <c r="F137" s="33"/>
      <c r="G137" s="33"/>
      <c r="H137" s="33"/>
    </row>
    <row r="138" spans="1:8" outlineLevel="1" x14ac:dyDescent="0.2">
      <c r="B138" s="34" t="s">
        <v>65</v>
      </c>
      <c r="C138" s="35" t="s">
        <v>233</v>
      </c>
      <c r="D138" s="35" t="s">
        <v>234</v>
      </c>
      <c r="E138" s="35" t="s">
        <v>235</v>
      </c>
      <c r="F138" s="35">
        <v>2022</v>
      </c>
      <c r="G138" s="35" t="s">
        <v>238</v>
      </c>
      <c r="H138" s="35" t="s">
        <v>239</v>
      </c>
    </row>
    <row r="139" spans="1:8" ht="15" customHeight="1" outlineLevel="1" x14ac:dyDescent="0.2">
      <c r="B139" s="42" t="s">
        <v>196</v>
      </c>
      <c r="C139" s="3">
        <v>10926.77</v>
      </c>
      <c r="D139" s="3">
        <v>11931.378000000001</v>
      </c>
      <c r="E139" s="3">
        <v>12814.537</v>
      </c>
      <c r="F139" s="3">
        <v>13816.295</v>
      </c>
      <c r="G139" s="3">
        <v>14178.071</v>
      </c>
      <c r="H139" s="3">
        <v>19169.915000000001</v>
      </c>
    </row>
    <row r="140" spans="1:8" ht="15" customHeight="1" outlineLevel="1" x14ac:dyDescent="0.2">
      <c r="B140" s="24" t="s">
        <v>241</v>
      </c>
      <c r="C140" s="3">
        <v>9906.7350000000006</v>
      </c>
      <c r="D140" s="3">
        <v>10494.778</v>
      </c>
      <c r="E140" s="3">
        <v>13368.532999999999</v>
      </c>
      <c r="F140" s="3">
        <v>13954.407999999999</v>
      </c>
      <c r="G140" s="3">
        <v>13412.822</v>
      </c>
      <c r="H140" s="3">
        <v>11054.921</v>
      </c>
    </row>
    <row r="141" spans="1:8" ht="15" customHeight="1" outlineLevel="1" x14ac:dyDescent="0.2">
      <c r="B141" s="24" t="s">
        <v>200</v>
      </c>
      <c r="C141" s="3">
        <v>4963.1580000000004</v>
      </c>
      <c r="D141" s="3">
        <v>5571.9170000000004</v>
      </c>
      <c r="E141" s="3">
        <v>5867.9589999999998</v>
      </c>
      <c r="F141" s="3">
        <v>4416.6639999999998</v>
      </c>
      <c r="G141" s="3">
        <v>4511.1279999999997</v>
      </c>
      <c r="H141" s="3">
        <v>5620.9359999999997</v>
      </c>
    </row>
    <row r="142" spans="1:8" ht="15" hidden="1" customHeight="1" outlineLevel="2" x14ac:dyDescent="0.2">
      <c r="B142" s="24"/>
      <c r="C142" s="3"/>
      <c r="D142" s="3"/>
      <c r="E142" s="3"/>
      <c r="F142" s="3"/>
      <c r="G142" s="3"/>
      <c r="H142" s="3"/>
    </row>
    <row r="143" spans="1:8" ht="15" hidden="1" customHeight="1" outlineLevel="2" x14ac:dyDescent="0.2">
      <c r="B143" s="24"/>
      <c r="C143" s="3"/>
      <c r="D143" s="3"/>
      <c r="E143" s="3"/>
      <c r="F143" s="3"/>
      <c r="G143" s="3"/>
      <c r="H143" s="3"/>
    </row>
    <row r="144" spans="1:8" ht="15" customHeight="1" outlineLevel="1" collapsed="1" x14ac:dyDescent="0.2">
      <c r="B144" s="43" t="s">
        <v>155</v>
      </c>
      <c r="C144" s="44">
        <v>25796.663</v>
      </c>
      <c r="D144" s="44">
        <v>27998.073000000004</v>
      </c>
      <c r="E144" s="44">
        <v>32051.028999999999</v>
      </c>
      <c r="F144" s="44">
        <v>32187.367000000002</v>
      </c>
      <c r="G144" s="44">
        <v>32102.021000000001</v>
      </c>
      <c r="H144" s="44">
        <v>35845.772000000004</v>
      </c>
    </row>
    <row r="145" spans="2:8" ht="15" customHeight="1" outlineLevel="1" x14ac:dyDescent="0.2">
      <c r="B145" s="42" t="s">
        <v>196</v>
      </c>
      <c r="C145" s="3">
        <v>11449.383</v>
      </c>
      <c r="D145" s="3">
        <v>12002.664000000001</v>
      </c>
      <c r="E145" s="3">
        <v>12875.602000000001</v>
      </c>
      <c r="F145" s="3">
        <v>12369.27</v>
      </c>
      <c r="G145" s="3">
        <v>12683.307000000001</v>
      </c>
      <c r="H145" s="3">
        <v>17232.758999999998</v>
      </c>
    </row>
    <row r="146" spans="2:8" ht="15" customHeight="1" outlineLevel="1" x14ac:dyDescent="0.2">
      <c r="B146" s="24" t="s">
        <v>241</v>
      </c>
      <c r="C146" s="3">
        <v>5928.2430000000004</v>
      </c>
      <c r="D146" s="3">
        <v>6707.8950000000004</v>
      </c>
      <c r="E146" s="3">
        <v>9094.5470000000005</v>
      </c>
      <c r="F146" s="3">
        <v>8703.2839999999997</v>
      </c>
      <c r="G146" s="3">
        <v>8532.0779999999995</v>
      </c>
      <c r="H146" s="3">
        <v>6771.9</v>
      </c>
    </row>
    <row r="147" spans="2:8" ht="15" customHeight="1" outlineLevel="1" x14ac:dyDescent="0.2">
      <c r="B147" s="24" t="s">
        <v>200</v>
      </c>
      <c r="C147" s="3">
        <v>685.41099999999994</v>
      </c>
      <c r="D147" s="3">
        <v>331.69400000000002</v>
      </c>
      <c r="E147" s="3">
        <v>408.04599999999999</v>
      </c>
      <c r="F147" s="3">
        <v>524.61099999999999</v>
      </c>
      <c r="G147" s="3">
        <v>525.495</v>
      </c>
      <c r="H147" s="3">
        <v>609.04899999999998</v>
      </c>
    </row>
    <row r="148" spans="2:8" ht="15" hidden="1" customHeight="1" outlineLevel="2" x14ac:dyDescent="0.2">
      <c r="B148" s="24"/>
      <c r="C148" s="3"/>
      <c r="D148" s="3"/>
      <c r="E148" s="3"/>
      <c r="F148" s="3"/>
      <c r="G148" s="3"/>
      <c r="H148" s="3"/>
    </row>
    <row r="149" spans="2:8" ht="15" hidden="1" customHeight="1" outlineLevel="2" x14ac:dyDescent="0.2">
      <c r="B149" s="24"/>
      <c r="C149" s="3"/>
      <c r="D149" s="3"/>
      <c r="E149" s="3"/>
      <c r="F149" s="3"/>
      <c r="G149" s="3"/>
      <c r="H149" s="3"/>
    </row>
    <row r="150" spans="2:8" ht="15" customHeight="1" outlineLevel="1" collapsed="1" x14ac:dyDescent="0.2">
      <c r="B150" s="43" t="s">
        <v>156</v>
      </c>
      <c r="C150" s="44">
        <v>18063.037</v>
      </c>
      <c r="D150" s="44">
        <v>19042.253000000001</v>
      </c>
      <c r="E150" s="44">
        <v>22378.195</v>
      </c>
      <c r="F150" s="44">
        <v>21597.165000000001</v>
      </c>
      <c r="G150" s="44">
        <v>21740.880000000001</v>
      </c>
      <c r="H150" s="44">
        <v>24613.707999999999</v>
      </c>
    </row>
    <row r="151" spans="2:8" ht="15" customHeight="1" outlineLevel="1" x14ac:dyDescent="0.2">
      <c r="B151" s="42" t="s">
        <v>196</v>
      </c>
      <c r="C151" s="3">
        <v>-2164.1849999999999</v>
      </c>
      <c r="D151" s="3">
        <v>-2308.0569999999998</v>
      </c>
      <c r="E151" s="3">
        <v>-2921.9940000000001</v>
      </c>
      <c r="F151" s="3">
        <v>-692.64700000000005</v>
      </c>
      <c r="G151" s="3">
        <v>-837.05200000000002</v>
      </c>
      <c r="H151" s="3">
        <v>-1630.5909999999999</v>
      </c>
    </row>
    <row r="152" spans="2:8" ht="15" customHeight="1" outlineLevel="1" x14ac:dyDescent="0.2">
      <c r="B152" s="24" t="s">
        <v>241</v>
      </c>
      <c r="C152" s="3">
        <v>4660.4189999999999</v>
      </c>
      <c r="D152" s="3">
        <v>5226.4560000000001</v>
      </c>
      <c r="E152" s="3">
        <v>5744.74</v>
      </c>
      <c r="F152" s="3">
        <v>6541.326</v>
      </c>
      <c r="G152" s="3">
        <v>6191.9579999999996</v>
      </c>
      <c r="H152" s="3">
        <v>6425.0259999999998</v>
      </c>
    </row>
    <row r="153" spans="2:8" ht="15" customHeight="1" outlineLevel="1" x14ac:dyDescent="0.2">
      <c r="B153" s="24" t="s">
        <v>200</v>
      </c>
      <c r="C153" s="3">
        <v>5097.6000000000004</v>
      </c>
      <c r="D153" s="3">
        <v>5883.3519999999999</v>
      </c>
      <c r="E153" s="3">
        <v>6687.3</v>
      </c>
      <c r="F153" s="3">
        <v>4580.3209999999999</v>
      </c>
      <c r="G153" s="3">
        <v>4854.0460000000003</v>
      </c>
      <c r="H153" s="3">
        <v>6250.59</v>
      </c>
    </row>
    <row r="154" spans="2:8" ht="15" hidden="1" customHeight="1" outlineLevel="2" x14ac:dyDescent="0.2">
      <c r="B154" s="24"/>
      <c r="C154" s="3"/>
      <c r="D154" s="3"/>
      <c r="E154" s="3"/>
      <c r="F154" s="3"/>
      <c r="G154" s="3"/>
      <c r="H154" s="3"/>
    </row>
    <row r="155" spans="2:8" ht="15" hidden="1" customHeight="1" outlineLevel="2" x14ac:dyDescent="0.2">
      <c r="B155" s="24"/>
      <c r="C155" s="3"/>
      <c r="D155" s="3"/>
      <c r="E155" s="3"/>
      <c r="F155" s="3"/>
      <c r="G155" s="3"/>
      <c r="H155" s="3"/>
    </row>
    <row r="156" spans="2:8" ht="15" customHeight="1" outlineLevel="1" collapsed="1" x14ac:dyDescent="0.2">
      <c r="B156" s="43" t="s">
        <v>157</v>
      </c>
      <c r="C156" s="44">
        <v>7593.8340000000007</v>
      </c>
      <c r="D156" s="44">
        <v>8801.7510000000002</v>
      </c>
      <c r="E156" s="44">
        <v>9510.0460000000003</v>
      </c>
      <c r="F156" s="44">
        <v>10429</v>
      </c>
      <c r="G156" s="44">
        <v>10208.952000000001</v>
      </c>
      <c r="H156" s="44">
        <v>11045.025</v>
      </c>
    </row>
    <row r="157" spans="2:8" ht="15" customHeight="1" outlineLevel="1" x14ac:dyDescent="0.2">
      <c r="B157" s="42" t="s">
        <v>196</v>
      </c>
      <c r="C157" s="3">
        <v>148.64400000000001</v>
      </c>
      <c r="D157" s="3">
        <v>169.71600000000001</v>
      </c>
      <c r="E157" s="3">
        <v>185.208</v>
      </c>
      <c r="F157" s="3">
        <v>198.834</v>
      </c>
      <c r="G157" s="3">
        <v>203.87899999999999</v>
      </c>
      <c r="H157" s="3">
        <v>277.18099999999998</v>
      </c>
    </row>
    <row r="158" spans="2:8" ht="15" customHeight="1" outlineLevel="1" x14ac:dyDescent="0.2">
      <c r="B158" s="24" t="s">
        <v>241</v>
      </c>
      <c r="C158" s="3">
        <v>-8.8979999999999997</v>
      </c>
      <c r="D158" s="3">
        <v>-15.693</v>
      </c>
      <c r="E158" s="3">
        <v>-22.503</v>
      </c>
      <c r="F158" s="3">
        <v>-37.692999999999998</v>
      </c>
      <c r="G158" s="3">
        <v>-51.774999999999999</v>
      </c>
      <c r="H158" s="3">
        <v>-90.241</v>
      </c>
    </row>
    <row r="159" spans="2:8" ht="15" customHeight="1" outlineLevel="1" x14ac:dyDescent="0.2">
      <c r="B159" s="24" t="s">
        <v>200</v>
      </c>
      <c r="C159" s="3">
        <v>4.3999999999999997E-2</v>
      </c>
      <c r="D159" s="3">
        <v>0.05</v>
      </c>
      <c r="E159" s="3">
        <v>8.2000000000000003E-2</v>
      </c>
      <c r="F159" s="3">
        <v>0.06</v>
      </c>
      <c r="G159" s="3">
        <v>8.5999999999999993E-2</v>
      </c>
      <c r="H159" s="3">
        <v>0.105</v>
      </c>
    </row>
    <row r="160" spans="2:8" ht="15" hidden="1" customHeight="1" outlineLevel="2" x14ac:dyDescent="0.2">
      <c r="B160" s="24"/>
      <c r="C160" s="3"/>
      <c r="D160" s="3"/>
      <c r="E160" s="3"/>
      <c r="F160" s="3"/>
      <c r="G160" s="3"/>
      <c r="H160" s="3"/>
    </row>
    <row r="161" spans="1:9" ht="15" hidden="1" customHeight="1" outlineLevel="2" x14ac:dyDescent="0.2">
      <c r="B161" s="24"/>
      <c r="C161" s="3"/>
      <c r="D161" s="3"/>
      <c r="E161" s="3"/>
      <c r="F161" s="3"/>
      <c r="G161" s="3"/>
      <c r="H161" s="3"/>
    </row>
    <row r="162" spans="1:9" ht="15" customHeight="1" outlineLevel="1" collapsed="1" x14ac:dyDescent="0.2">
      <c r="A162" s="55" t="s">
        <v>164</v>
      </c>
      <c r="B162" s="43" t="s">
        <v>158</v>
      </c>
      <c r="C162" s="44">
        <v>139.79000000000002</v>
      </c>
      <c r="D162" s="44">
        <v>154.07300000000001</v>
      </c>
      <c r="E162" s="44">
        <v>162.78699999999998</v>
      </c>
      <c r="F162" s="44">
        <v>161.20100000000002</v>
      </c>
      <c r="G162" s="44">
        <v>152.19</v>
      </c>
      <c r="H162" s="44">
        <v>187.04499999999999</v>
      </c>
    </row>
    <row r="165" spans="1:9" ht="20.100000000000001" customHeight="1" outlineLevel="1" x14ac:dyDescent="0.2">
      <c r="B165" s="32" t="s">
        <v>123</v>
      </c>
      <c r="C165" s="33"/>
      <c r="D165" s="33"/>
      <c r="E165" s="33"/>
      <c r="F165" s="33"/>
      <c r="G165" s="33"/>
      <c r="H165" s="33"/>
    </row>
    <row r="166" spans="1:9" outlineLevel="1" x14ac:dyDescent="0.2">
      <c r="B166" s="34" t="s">
        <v>65</v>
      </c>
      <c r="C166" s="35" t="s">
        <v>233</v>
      </c>
      <c r="D166" s="35" t="s">
        <v>234</v>
      </c>
      <c r="E166" s="35" t="s">
        <v>235</v>
      </c>
      <c r="F166" s="35">
        <v>2022</v>
      </c>
      <c r="G166" s="35" t="s">
        <v>238</v>
      </c>
      <c r="H166" s="35" t="s">
        <v>239</v>
      </c>
    </row>
    <row r="167" spans="1:9" ht="15" customHeight="1" outlineLevel="1" x14ac:dyDescent="0.2">
      <c r="B167" s="42" t="s">
        <v>124</v>
      </c>
      <c r="C167" s="3">
        <f t="shared" ref="C167" si="33">+C28</f>
        <v>99.051000000000002</v>
      </c>
      <c r="D167" s="3">
        <f>+D28</f>
        <v>1066.163</v>
      </c>
      <c r="E167" s="3">
        <f t="shared" ref="E167:H167" si="34">+E28</f>
        <v>1794.768</v>
      </c>
      <c r="F167" s="3">
        <f t="shared" si="34"/>
        <v>3448.3910000000001</v>
      </c>
      <c r="G167" s="3">
        <f t="shared" si="34"/>
        <v>-373.58100000000002</v>
      </c>
      <c r="H167" s="3">
        <f>+H28</f>
        <v>85.777000000000001</v>
      </c>
      <c r="I167" s="36"/>
    </row>
    <row r="168" spans="1:9" ht="15" customHeight="1" outlineLevel="1" x14ac:dyDescent="0.2">
      <c r="B168" s="24" t="s">
        <v>125</v>
      </c>
      <c r="C168" s="3">
        <v>90.01</v>
      </c>
      <c r="D168" s="3">
        <v>220.982</v>
      </c>
      <c r="E168" s="3">
        <v>285.08199999999999</v>
      </c>
      <c r="F168" s="3">
        <v>-200.345</v>
      </c>
      <c r="G168" s="3">
        <v>409.85899999999998</v>
      </c>
      <c r="H168" s="3">
        <v>740.34500000000003</v>
      </c>
    </row>
    <row r="169" spans="1:9" ht="15" customHeight="1" outlineLevel="1" x14ac:dyDescent="0.2">
      <c r="B169" s="24" t="s">
        <v>126</v>
      </c>
      <c r="C169" s="3">
        <v>-2695.1570000000002</v>
      </c>
      <c r="D169" s="3">
        <v>-3289.65</v>
      </c>
      <c r="E169" s="3">
        <v>-2856.192</v>
      </c>
      <c r="F169" s="3">
        <v>-2511.6660000000002</v>
      </c>
      <c r="G169" s="3">
        <v>1542.203</v>
      </c>
      <c r="H169" s="3">
        <v>-1632.721</v>
      </c>
    </row>
    <row r="170" spans="1:9" ht="15" customHeight="1" outlineLevel="1" x14ac:dyDescent="0.2">
      <c r="B170" s="6" t="s">
        <v>128</v>
      </c>
      <c r="C170" s="7">
        <v>-2686.0279999999998</v>
      </c>
      <c r="D170" s="7">
        <v>-2393.8000000000002</v>
      </c>
      <c r="E170" s="7">
        <v>-1483.027</v>
      </c>
      <c r="F170" s="7">
        <v>-355.25799999999998</v>
      </c>
      <c r="G170" s="7">
        <v>1300.4349999999999</v>
      </c>
      <c r="H170" s="7">
        <v>-1596.654</v>
      </c>
    </row>
    <row r="171" spans="1:9" ht="15" customHeight="1" outlineLevel="1" x14ac:dyDescent="0.2">
      <c r="B171" s="24" t="s">
        <v>129</v>
      </c>
      <c r="C171" s="3">
        <f>4.592-170.873</f>
        <v>-166.28099999999998</v>
      </c>
      <c r="D171" s="3">
        <f>16.565-394.096</f>
        <v>-377.53100000000001</v>
      </c>
      <c r="E171" s="3">
        <f>44.6-553.091</f>
        <v>-508.49099999999999</v>
      </c>
      <c r="F171" s="3">
        <f>84.788-890.336</f>
        <v>-805.548</v>
      </c>
      <c r="G171" s="3">
        <f>36.989-260.853</f>
        <v>-223.864</v>
      </c>
      <c r="H171" s="3">
        <f>41.403-535.498</f>
        <v>-494.09500000000003</v>
      </c>
    </row>
    <row r="172" spans="1:9" ht="15" customHeight="1" outlineLevel="1" x14ac:dyDescent="0.2">
      <c r="B172" s="24" t="s">
        <v>130</v>
      </c>
      <c r="C172" s="40">
        <f t="shared" ref="C172" si="35">+C173-C171</f>
        <v>-39.13300000000001</v>
      </c>
      <c r="D172" s="3">
        <f t="shared" ref="D172" si="36">+D173-D171</f>
        <v>-62.406000000000006</v>
      </c>
      <c r="E172" s="3">
        <f t="shared" ref="E172" si="37">+E173-E171</f>
        <v>-66.139999999999986</v>
      </c>
      <c r="F172" s="3">
        <f t="shared" ref="F172" si="38">+F173-F171</f>
        <v>54.863000000000056</v>
      </c>
      <c r="G172" s="40">
        <f t="shared" ref="G172" si="39">+G173-G171</f>
        <v>-4.1219999999999857</v>
      </c>
      <c r="H172" s="40">
        <f>+H173-H171</f>
        <v>16.464000000000055</v>
      </c>
    </row>
    <row r="173" spans="1:9" ht="15" customHeight="1" outlineLevel="1" x14ac:dyDescent="0.2">
      <c r="B173" s="6" t="s">
        <v>127</v>
      </c>
      <c r="C173" s="45">
        <v>-205.41399999999999</v>
      </c>
      <c r="D173" s="7">
        <v>-439.93700000000001</v>
      </c>
      <c r="E173" s="7">
        <v>-574.63099999999997</v>
      </c>
      <c r="F173" s="7">
        <v>-750.68499999999995</v>
      </c>
      <c r="G173" s="45">
        <v>-227.98599999999999</v>
      </c>
      <c r="H173" s="45">
        <v>-477.63099999999997</v>
      </c>
    </row>
    <row r="174" spans="1:9" ht="15" customHeight="1" outlineLevel="1" x14ac:dyDescent="0.2">
      <c r="B174" s="24" t="s">
        <v>147</v>
      </c>
      <c r="C174" s="3">
        <f>1219.679-374.668</f>
        <v>845.01100000000008</v>
      </c>
      <c r="D174" s="3">
        <f>2034.663-1182.272</f>
        <v>852.39100000000008</v>
      </c>
      <c r="E174" s="3">
        <f>4489.431-3539.065</f>
        <v>950.36599999999953</v>
      </c>
      <c r="F174" s="3">
        <f>7813.907-7706.235</f>
        <v>107.67200000000048</v>
      </c>
      <c r="G174" s="3">
        <f>1586.169-1306.738</f>
        <v>279.43100000000004</v>
      </c>
      <c r="H174" s="3">
        <f>2121.434-1517.489</f>
        <v>603.94500000000016</v>
      </c>
    </row>
    <row r="175" spans="1:9" ht="15" customHeight="1" outlineLevel="1" x14ac:dyDescent="0.2">
      <c r="B175" s="24" t="s">
        <v>137</v>
      </c>
      <c r="C175" s="3" t="s">
        <v>153</v>
      </c>
      <c r="D175" s="3">
        <v>-345.24599999999998</v>
      </c>
      <c r="E175" s="3">
        <v>-345.24599999999998</v>
      </c>
      <c r="F175" s="3">
        <v>-274.16399999999999</v>
      </c>
      <c r="G175" s="3" t="s">
        <v>153</v>
      </c>
      <c r="H175" s="3">
        <v>-1096.9190000000001</v>
      </c>
    </row>
    <row r="176" spans="1:9" ht="15" customHeight="1" outlineLevel="1" x14ac:dyDescent="0.2">
      <c r="B176" s="6" t="s">
        <v>131</v>
      </c>
      <c r="C176" s="7">
        <v>829.44</v>
      </c>
      <c r="D176" s="7">
        <v>479.41500000000002</v>
      </c>
      <c r="E176" s="7">
        <v>562.76800000000003</v>
      </c>
      <c r="F176" s="7">
        <v>-233.39500000000001</v>
      </c>
      <c r="G176" s="7">
        <v>267.428</v>
      </c>
      <c r="H176" s="7">
        <v>-564.88499999999999</v>
      </c>
    </row>
    <row r="177" spans="1:9" ht="15" customHeight="1" outlineLevel="1" x14ac:dyDescent="0.2">
      <c r="A177" s="55" t="s">
        <v>164</v>
      </c>
      <c r="B177" s="43" t="s">
        <v>132</v>
      </c>
      <c r="C177" s="44">
        <v>-1819.1289999999999</v>
      </c>
      <c r="D177" s="44">
        <v>-1600.701</v>
      </c>
      <c r="E177" s="44">
        <v>-918.45699999999999</v>
      </c>
      <c r="F177" s="44">
        <v>-912.577</v>
      </c>
      <c r="G177" s="44">
        <v>1339.877</v>
      </c>
      <c r="H177" s="44">
        <v>-1578.412</v>
      </c>
    </row>
    <row r="178" spans="1:9" x14ac:dyDescent="0.2">
      <c r="F178" s="3"/>
    </row>
    <row r="180" spans="1:9" ht="20.100000000000001" customHeight="1" outlineLevel="1" x14ac:dyDescent="0.2">
      <c r="B180" s="32" t="s">
        <v>160</v>
      </c>
      <c r="C180" s="33"/>
      <c r="D180" s="33"/>
      <c r="E180" s="33"/>
      <c r="F180" s="33"/>
      <c r="G180" s="33"/>
      <c r="H180" s="33"/>
    </row>
    <row r="181" spans="1:9" outlineLevel="1" x14ac:dyDescent="0.2">
      <c r="B181" s="34" t="s">
        <v>65</v>
      </c>
      <c r="C181" s="35" t="s">
        <v>233</v>
      </c>
      <c r="D181" s="35" t="s">
        <v>234</v>
      </c>
      <c r="E181" s="35" t="s">
        <v>235</v>
      </c>
      <c r="F181" s="35">
        <v>2022</v>
      </c>
      <c r="G181" s="35" t="s">
        <v>238</v>
      </c>
      <c r="H181" s="35" t="s">
        <v>239</v>
      </c>
    </row>
    <row r="182" spans="1:9" ht="15" customHeight="1" outlineLevel="1" x14ac:dyDescent="0.2">
      <c r="B182" s="42" t="s">
        <v>196</v>
      </c>
      <c r="C182" s="3">
        <v>15.764999999999993</v>
      </c>
      <c r="D182" s="3">
        <v>67.715999999999994</v>
      </c>
      <c r="E182" s="3">
        <v>93.177999999999997</v>
      </c>
      <c r="F182" s="3">
        <v>192.92099999999999</v>
      </c>
      <c r="G182" s="3">
        <v>166.73700000000002</v>
      </c>
      <c r="H182" s="3">
        <v>301.75200000000001</v>
      </c>
      <c r="I182" s="36"/>
    </row>
    <row r="183" spans="1:9" ht="15" customHeight="1" outlineLevel="1" x14ac:dyDescent="0.2">
      <c r="B183" s="24" t="s">
        <v>241</v>
      </c>
      <c r="C183" s="3">
        <v>154.43799999999999</v>
      </c>
      <c r="D183" s="3">
        <v>325.50799999999998</v>
      </c>
      <c r="E183" s="3">
        <v>454.89499999999998</v>
      </c>
      <c r="F183" s="3">
        <v>685.851</v>
      </c>
      <c r="G183" s="3">
        <v>93.888000000000005</v>
      </c>
      <c r="H183" s="3">
        <v>229.476</v>
      </c>
      <c r="I183" s="36"/>
    </row>
    <row r="184" spans="1:9" ht="15" customHeight="1" outlineLevel="1" x14ac:dyDescent="0.2">
      <c r="B184" s="24" t="s">
        <v>200</v>
      </c>
      <c r="C184" s="3">
        <v>0.66999999999999993</v>
      </c>
      <c r="D184" s="3">
        <v>2.7959999999999998</v>
      </c>
      <c r="E184" s="3">
        <v>15.81</v>
      </c>
      <c r="F184" s="3">
        <v>26.716000000000001</v>
      </c>
      <c r="G184" s="3">
        <v>0.22699999999999854</v>
      </c>
      <c r="H184" s="3">
        <v>8.7129999999999992</v>
      </c>
      <c r="I184" s="36"/>
    </row>
    <row r="185" spans="1:9" ht="15" hidden="1" customHeight="1" outlineLevel="2" x14ac:dyDescent="0.2">
      <c r="B185" s="24"/>
      <c r="C185" s="3"/>
      <c r="D185" s="3"/>
      <c r="E185" s="3"/>
      <c r="F185" s="3"/>
      <c r="G185" s="3"/>
      <c r="H185" s="3"/>
    </row>
    <row r="186" spans="1:9" ht="15" hidden="1" customHeight="1" outlineLevel="2" x14ac:dyDescent="0.2">
      <c r="B186" s="24"/>
      <c r="C186" s="3"/>
      <c r="D186" s="3"/>
      <c r="E186" s="3"/>
      <c r="F186" s="3"/>
      <c r="G186" s="3"/>
      <c r="H186" s="3"/>
    </row>
    <row r="187" spans="1:9" ht="15" customHeight="1" outlineLevel="1" collapsed="1" x14ac:dyDescent="0.2">
      <c r="B187" s="43" t="s">
        <v>161</v>
      </c>
      <c r="C187" s="44">
        <f t="shared" ref="C187:H187" si="40">+SUM(C182:C184)</f>
        <v>170.87299999999996</v>
      </c>
      <c r="D187" s="44">
        <f t="shared" si="40"/>
        <v>396.02</v>
      </c>
      <c r="E187" s="44">
        <f t="shared" si="40"/>
        <v>563.88299999999992</v>
      </c>
      <c r="F187" s="44">
        <f t="shared" si="40"/>
        <v>905.48799999999994</v>
      </c>
      <c r="G187" s="44">
        <f t="shared" si="40"/>
        <v>260.85199999999998</v>
      </c>
      <c r="H187" s="44">
        <f t="shared" si="40"/>
        <v>539.94100000000003</v>
      </c>
    </row>
    <row r="188" spans="1:9" ht="15" customHeight="1" outlineLevel="1" x14ac:dyDescent="0.2">
      <c r="B188" s="42" t="s">
        <v>196</v>
      </c>
      <c r="C188" s="3">
        <v>91.39700000000002</v>
      </c>
      <c r="D188" s="3">
        <v>197.46100000000001</v>
      </c>
      <c r="E188" s="3">
        <v>316.34300000000002</v>
      </c>
      <c r="F188" s="3">
        <v>446.875</v>
      </c>
      <c r="G188" s="3">
        <v>87.045999999999992</v>
      </c>
      <c r="H188" s="3">
        <v>255.84</v>
      </c>
    </row>
    <row r="189" spans="1:9" ht="15" customHeight="1" outlineLevel="1" x14ac:dyDescent="0.2">
      <c r="B189" s="24" t="s">
        <v>241</v>
      </c>
      <c r="C189" s="3">
        <v>27.457000000000001</v>
      </c>
      <c r="D189" s="3">
        <v>67.081000000000003</v>
      </c>
      <c r="E189" s="3">
        <v>101.93</v>
      </c>
      <c r="F189" s="3">
        <v>143.44</v>
      </c>
      <c r="G189" s="3">
        <v>44.508000000000003</v>
      </c>
      <c r="H189" s="3">
        <v>82.575000000000003</v>
      </c>
    </row>
    <row r="190" spans="1:9" ht="15" customHeight="1" outlineLevel="1" x14ac:dyDescent="0.2">
      <c r="B190" s="24" t="s">
        <v>200</v>
      </c>
      <c r="C190" s="3">
        <v>2.661</v>
      </c>
      <c r="D190" s="3">
        <v>5.1539999999999999</v>
      </c>
      <c r="E190" s="3">
        <v>7.468</v>
      </c>
      <c r="F190" s="3">
        <v>11.074</v>
      </c>
      <c r="G190" s="3">
        <v>2.907</v>
      </c>
      <c r="H190" s="3">
        <v>5.8220000000000001</v>
      </c>
    </row>
    <row r="191" spans="1:9" ht="15" hidden="1" customHeight="1" outlineLevel="2" x14ac:dyDescent="0.2">
      <c r="B191" s="24"/>
      <c r="C191" s="3"/>
      <c r="D191" s="3"/>
      <c r="E191" s="3"/>
      <c r="F191" s="3"/>
      <c r="G191" s="3"/>
      <c r="H191" s="3"/>
    </row>
    <row r="192" spans="1:9" ht="15" hidden="1" customHeight="1" outlineLevel="2" x14ac:dyDescent="0.2">
      <c r="B192" s="24"/>
      <c r="C192" s="3"/>
      <c r="D192" s="3"/>
      <c r="E192" s="3"/>
      <c r="F192" s="3"/>
      <c r="G192" s="3"/>
      <c r="H192" s="3"/>
    </row>
    <row r="193" spans="1:8" ht="15" customHeight="1" outlineLevel="1" collapsed="1" x14ac:dyDescent="0.2">
      <c r="A193" s="55" t="s">
        <v>164</v>
      </c>
      <c r="B193" s="43" t="s">
        <v>162</v>
      </c>
      <c r="C193" s="44">
        <f t="shared" ref="C193:H193" si="41">+SUM(C188:C190)</f>
        <v>121.51500000000001</v>
      </c>
      <c r="D193" s="44">
        <f t="shared" si="41"/>
        <v>269.69600000000003</v>
      </c>
      <c r="E193" s="44">
        <f t="shared" si="41"/>
        <v>425.74100000000004</v>
      </c>
      <c r="F193" s="44">
        <f t="shared" si="41"/>
        <v>601.38900000000001</v>
      </c>
      <c r="G193" s="44">
        <f t="shared" si="41"/>
        <v>134.46100000000001</v>
      </c>
      <c r="H193" s="44">
        <f t="shared" si="41"/>
        <v>344.23700000000002</v>
      </c>
    </row>
    <row r="194" spans="1:8" x14ac:dyDescent="0.2">
      <c r="A194" s="55"/>
      <c r="B194" s="2"/>
    </row>
    <row r="195" spans="1:8" x14ac:dyDescent="0.2">
      <c r="A195" s="55"/>
      <c r="B195" s="2"/>
    </row>
    <row r="196" spans="1:8" ht="20.100000000000001" customHeight="1" outlineLevel="1" x14ac:dyDescent="0.2">
      <c r="B196" s="32" t="s">
        <v>165</v>
      </c>
      <c r="C196" s="33"/>
      <c r="D196" s="33"/>
      <c r="E196" s="33"/>
      <c r="F196" s="33"/>
      <c r="G196" s="33"/>
      <c r="H196" s="33"/>
    </row>
    <row r="197" spans="1:8" outlineLevel="1" x14ac:dyDescent="0.2">
      <c r="B197" s="34" t="s">
        <v>65</v>
      </c>
      <c r="C197" s="35" t="s">
        <v>233</v>
      </c>
      <c r="D197" s="35" t="s">
        <v>234</v>
      </c>
      <c r="E197" s="35" t="s">
        <v>235</v>
      </c>
      <c r="F197" s="35">
        <v>2022</v>
      </c>
      <c r="G197" s="35" t="s">
        <v>238</v>
      </c>
      <c r="H197" s="35" t="s">
        <v>239</v>
      </c>
    </row>
    <row r="198" spans="1:8" ht="15" customHeight="1" outlineLevel="1" x14ac:dyDescent="0.2">
      <c r="B198" s="42" t="s">
        <v>196</v>
      </c>
      <c r="C198" s="3">
        <v>-3290.9189999999999</v>
      </c>
      <c r="D198" s="3">
        <v>-3256.299</v>
      </c>
      <c r="E198" s="3">
        <v>-3441.0810000000001</v>
      </c>
      <c r="F198" s="3">
        <v>-2945.2530000000002</v>
      </c>
      <c r="G198" s="3">
        <v>-3320.9479999999999</v>
      </c>
      <c r="H198" s="3">
        <v>-4547.2219999999998</v>
      </c>
    </row>
    <row r="199" spans="1:8" ht="15" customHeight="1" outlineLevel="1" x14ac:dyDescent="0.2">
      <c r="B199" s="24" t="s">
        <v>241</v>
      </c>
      <c r="C199" s="3">
        <v>1325.472</v>
      </c>
      <c r="D199" s="3">
        <v>1204.0830000000001</v>
      </c>
      <c r="E199" s="3">
        <v>2211.6309999999999</v>
      </c>
      <c r="F199" s="3">
        <v>2086.587</v>
      </c>
      <c r="G199" s="3">
        <v>2789.0929999999998</v>
      </c>
      <c r="H199" s="3">
        <v>-272.13200000000001</v>
      </c>
    </row>
    <row r="200" spans="1:8" ht="15" customHeight="1" outlineLevel="1" x14ac:dyDescent="0.2">
      <c r="B200" s="24" t="s">
        <v>200</v>
      </c>
      <c r="C200" s="3">
        <v>2624.8151290000001</v>
      </c>
      <c r="D200" s="3">
        <v>3120.8</v>
      </c>
      <c r="E200" s="3">
        <v>3145.97</v>
      </c>
      <c r="F200" s="3">
        <v>2157.971</v>
      </c>
      <c r="G200" s="3">
        <v>2254.7660000000001</v>
      </c>
      <c r="H200" s="3">
        <v>2556.239</v>
      </c>
    </row>
    <row r="201" spans="1:8" ht="15" hidden="1" customHeight="1" outlineLevel="2" x14ac:dyDescent="0.2">
      <c r="B201" s="24"/>
      <c r="C201" s="3"/>
      <c r="D201" s="3"/>
      <c r="E201" s="3"/>
      <c r="F201" s="3"/>
      <c r="G201" s="3"/>
      <c r="H201" s="3"/>
    </row>
    <row r="202" spans="1:8" ht="15" hidden="1" customHeight="1" outlineLevel="2" x14ac:dyDescent="0.2">
      <c r="B202" s="24"/>
      <c r="C202" s="3"/>
      <c r="D202" s="3"/>
      <c r="E202" s="3"/>
      <c r="F202" s="3"/>
      <c r="G202" s="3"/>
      <c r="H202" s="3"/>
    </row>
    <row r="203" spans="1:8" ht="15" customHeight="1" outlineLevel="1" collapsed="1" x14ac:dyDescent="0.2">
      <c r="A203" s="55" t="s">
        <v>164</v>
      </c>
      <c r="B203" s="43" t="s">
        <v>166</v>
      </c>
      <c r="C203" s="44">
        <v>659.36812900000018</v>
      </c>
      <c r="D203" s="44">
        <f t="shared" ref="D203:H203" si="42">+SUM(D198:D200)</f>
        <v>1068.5840000000003</v>
      </c>
      <c r="E203" s="44">
        <f t="shared" si="42"/>
        <v>1916.5199999999995</v>
      </c>
      <c r="F203" s="44">
        <f>+SUM(F198:F200)</f>
        <v>1299.3049999999998</v>
      </c>
      <c r="G203" s="44">
        <f t="shared" si="42"/>
        <v>1722.9110000000001</v>
      </c>
      <c r="H203" s="44">
        <f t="shared" si="42"/>
        <v>-2263.1149999999993</v>
      </c>
    </row>
    <row r="204" spans="1:8" x14ac:dyDescent="0.2">
      <c r="A204" s="55"/>
      <c r="B204" s="2"/>
      <c r="C204" s="115"/>
    </row>
    <row r="206" spans="1:8" ht="20.100000000000001" customHeight="1" outlineLevel="1" x14ac:dyDescent="0.2">
      <c r="B206" s="32" t="s">
        <v>138</v>
      </c>
      <c r="C206" s="33"/>
      <c r="D206" s="33"/>
      <c r="E206" s="33"/>
      <c r="F206" s="33"/>
      <c r="G206" s="33"/>
      <c r="H206" s="33"/>
    </row>
    <row r="207" spans="1:8" outlineLevel="1" x14ac:dyDescent="0.2">
      <c r="B207" s="34" t="s">
        <v>65</v>
      </c>
      <c r="C207" s="35" t="s">
        <v>233</v>
      </c>
      <c r="D207" s="35" t="s">
        <v>234</v>
      </c>
      <c r="E207" s="35" t="s">
        <v>235</v>
      </c>
      <c r="F207" s="35">
        <v>2022</v>
      </c>
      <c r="G207" s="35" t="s">
        <v>238</v>
      </c>
      <c r="H207" s="35" t="s">
        <v>239</v>
      </c>
    </row>
    <row r="208" spans="1:8" ht="15" customHeight="1" outlineLevel="1" x14ac:dyDescent="0.2">
      <c r="B208" s="9" t="s">
        <v>148</v>
      </c>
      <c r="C208" s="3">
        <f t="shared" ref="C208:H208" si="43">-C203</f>
        <v>-659.36812900000018</v>
      </c>
      <c r="D208" s="3">
        <f t="shared" si="43"/>
        <v>-1068.5840000000003</v>
      </c>
      <c r="E208" s="3">
        <f t="shared" si="43"/>
        <v>-1916.5199999999995</v>
      </c>
      <c r="F208" s="3">
        <f t="shared" si="43"/>
        <v>-1299.3049999999998</v>
      </c>
      <c r="G208" s="3">
        <f t="shared" si="43"/>
        <v>-1722.9110000000001</v>
      </c>
      <c r="H208" s="3">
        <f t="shared" si="43"/>
        <v>2263.1149999999993</v>
      </c>
    </row>
    <row r="209" spans="1:8" ht="15" customHeight="1" outlineLevel="1" x14ac:dyDescent="0.2">
      <c r="B209" s="1" t="s">
        <v>139</v>
      </c>
      <c r="C209" s="50">
        <f>C208/C23*-1</f>
        <v>5.1949838407235838</v>
      </c>
      <c r="D209" s="50">
        <f t="shared" ref="D209" si="44">D208/D23*-1</f>
        <v>0.84531179546407431</v>
      </c>
      <c r="E209" s="50">
        <f t="shared" ref="E209" si="45">E208/E23*-1</f>
        <v>0.97309581885425167</v>
      </c>
      <c r="F209" s="50">
        <f t="shared" ref="F209" si="46">F208/F23*-1</f>
        <v>0.38105210800804623</v>
      </c>
      <c r="G209" s="50">
        <f t="shared" ref="G209" si="47">G208/G23*-1</f>
        <v>6.9085838475943016</v>
      </c>
      <c r="H209" s="50">
        <f t="shared" ref="H209" si="48">H208/H23*-1</f>
        <v>-2.1403630393313091</v>
      </c>
    </row>
    <row r="210" spans="1:8" ht="15" customHeight="1" outlineLevel="1" x14ac:dyDescent="0.2">
      <c r="B210" s="1" t="s">
        <v>140</v>
      </c>
      <c r="C210" s="50">
        <f t="shared" ref="C210:H210" si="49">C208/C133*-1</f>
        <v>8.5259915532485187E-2</v>
      </c>
      <c r="D210" s="50">
        <f t="shared" si="49"/>
        <v>0.11931723081173</v>
      </c>
      <c r="E210" s="50">
        <f t="shared" si="49"/>
        <v>0.19813425950096322</v>
      </c>
      <c r="F210" s="50">
        <f t="shared" si="49"/>
        <v>0.12268937319408507</v>
      </c>
      <c r="G210" s="50">
        <f t="shared" si="49"/>
        <v>0.16628582061707098</v>
      </c>
      <c r="H210" s="50">
        <f t="shared" si="49"/>
        <v>-0.20148686724942641</v>
      </c>
    </row>
    <row r="211" spans="1:8" ht="15" customHeight="1" outlineLevel="1" x14ac:dyDescent="0.2">
      <c r="B211" s="1" t="s">
        <v>141</v>
      </c>
      <c r="C211" s="50">
        <f>(C131+C132)/C133</f>
        <v>0.59826441006182873</v>
      </c>
      <c r="D211" s="50">
        <f t="shared" ref="D211:H211" si="50">(D131+D132)/D133</f>
        <v>0.56169834977756938</v>
      </c>
      <c r="E211" s="50">
        <f t="shared" si="50"/>
        <v>0.56175826425241415</v>
      </c>
      <c r="F211" s="50">
        <f t="shared" si="50"/>
        <v>0.42899945232384662</v>
      </c>
      <c r="G211" s="50">
        <f t="shared" si="50"/>
        <v>0.47787502574523155</v>
      </c>
      <c r="H211" s="50">
        <f t="shared" si="50"/>
        <v>0.57792774120393819</v>
      </c>
    </row>
    <row r="212" spans="1:8" ht="15" customHeight="1" outlineLevel="1" x14ac:dyDescent="0.2">
      <c r="B212" s="1" t="s">
        <v>142</v>
      </c>
      <c r="C212" s="50">
        <f>C129/C133</f>
        <v>3.3356500134994929</v>
      </c>
      <c r="D212" s="50">
        <f t="shared" ref="D212:H212" si="51">D129/D133</f>
        <v>3.126242445836636</v>
      </c>
      <c r="E212" s="50">
        <f t="shared" si="51"/>
        <v>3.3135093279271279</v>
      </c>
      <c r="F212" s="50">
        <f t="shared" si="51"/>
        <v>3.0393538365658817</v>
      </c>
      <c r="G212" s="50">
        <f t="shared" si="51"/>
        <v>3.0983092404292889</v>
      </c>
      <c r="H212" s="50">
        <f t="shared" si="51"/>
        <v>3.191377245445008</v>
      </c>
    </row>
    <row r="213" spans="1:8" ht="15" customHeight="1" outlineLevel="1" x14ac:dyDescent="0.2">
      <c r="B213" s="1" t="s">
        <v>143</v>
      </c>
      <c r="C213" s="50">
        <f>18580.004/16839.474</f>
        <v>1.1033601168302527</v>
      </c>
      <c r="D213" s="50">
        <f>20101.916/17651.197</f>
        <v>1.1388415187933147</v>
      </c>
      <c r="E213" s="50">
        <f>23258.933/20892.24</f>
        <v>1.1132809598204882</v>
      </c>
      <c r="F213" s="50">
        <f>22403.234/18287.702</f>
        <v>1.225043693297277</v>
      </c>
      <c r="G213" s="50">
        <f>22003.136/18836.782</f>
        <v>1.1680942105716359</v>
      </c>
      <c r="H213" s="50">
        <f>22734.271/21099.247</f>
        <v>1.0774920545742699</v>
      </c>
    </row>
    <row r="214" spans="1:8" ht="15" customHeight="1" outlineLevel="1" x14ac:dyDescent="0.2">
      <c r="B214" s="1" t="s">
        <v>144</v>
      </c>
      <c r="C214" s="50">
        <f>3244.979/16389.474</f>
        <v>0.1979916500065835</v>
      </c>
      <c r="D214" s="50">
        <f>3463.407/17651.197</f>
        <v>0.1962137185370488</v>
      </c>
      <c r="E214" s="50">
        <f>4145.651/20892.24</f>
        <v>0.19843018268984081</v>
      </c>
      <c r="F214" s="50">
        <f>4151.531/18287.702</f>
        <v>0.22701217462970469</v>
      </c>
      <c r="G214" s="50">
        <f>5544.253/18836.782</f>
        <v>0.29433121857013583</v>
      </c>
      <c r="H214" s="50">
        <f>2573.119/21099.247</f>
        <v>0.1219531199383561</v>
      </c>
    </row>
    <row r="215" spans="1:8" ht="15" customHeight="1" outlineLevel="1" x14ac:dyDescent="0.2">
      <c r="B215" s="1" t="s">
        <v>201</v>
      </c>
      <c r="C215" s="50">
        <v>0.85590581648402719</v>
      </c>
      <c r="D215" s="50">
        <v>0.99134404618716077</v>
      </c>
      <c r="E215" s="50">
        <v>1.0684479622408614</v>
      </c>
      <c r="F215" s="50">
        <v>1.1337508418061069</v>
      </c>
      <c r="G215" s="50">
        <f>SUM(D34:G34)/AVERAGE(G129,C129)</f>
        <v>1.1961090998871564</v>
      </c>
      <c r="H215" s="50">
        <f>SUM(E34:H34)/AVERAGE(H129,D129)</f>
        <v>1.1195506950371557</v>
      </c>
    </row>
    <row r="216" spans="1:8" ht="15" customHeight="1" outlineLevel="1" x14ac:dyDescent="0.2">
      <c r="B216" s="1" t="s">
        <v>145</v>
      </c>
      <c r="C216" s="74">
        <v>7.2889397164806177E-2</v>
      </c>
      <c r="D216" s="74">
        <v>0.14750242363708177</v>
      </c>
      <c r="E216" s="74">
        <v>0.16676110684355414</v>
      </c>
      <c r="F216" s="74">
        <v>0.37655121355168197</v>
      </c>
      <c r="G216" s="74">
        <f>SUM(D44:G44)/AVERAGE(G133,C133)</f>
        <v>0.32890825999076195</v>
      </c>
      <c r="H216" s="74">
        <f>SUM(E44:H44)/AVERAGE(H133,D133)</f>
        <v>0.24450345120182168</v>
      </c>
    </row>
    <row r="217" spans="1:8" ht="15" customHeight="1" outlineLevel="1" x14ac:dyDescent="0.2">
      <c r="A217" s="55" t="s">
        <v>164</v>
      </c>
      <c r="B217" s="51" t="s">
        <v>146</v>
      </c>
      <c r="C217" s="65">
        <v>2.5060015435385566E-2</v>
      </c>
      <c r="D217" s="65">
        <v>5.3239226949314503E-2</v>
      </c>
      <c r="E217" s="65">
        <v>5.7626288531230634E-2</v>
      </c>
      <c r="F217" s="65">
        <v>0.12747993389689471</v>
      </c>
      <c r="G217" s="65">
        <f>SUM(D44:G44)/AVERAGE(G129,C129)</f>
        <v>0.10279193732983746</v>
      </c>
      <c r="H217" s="65">
        <f>SUM(E44:H44)/AVERAGE(H129,D129)</f>
        <v>7.7313786183925967E-2</v>
      </c>
    </row>
    <row r="218" spans="1:8" x14ac:dyDescent="0.2">
      <c r="C218" s="3"/>
      <c r="G218" s="3"/>
      <c r="H218" s="3"/>
    </row>
    <row r="219" spans="1:8" x14ac:dyDescent="0.2">
      <c r="C219" s="50"/>
      <c r="D219" s="50"/>
      <c r="E219" s="50"/>
      <c r="F219" s="50"/>
      <c r="G219" s="50"/>
      <c r="H219" s="50"/>
    </row>
    <row r="220" spans="1:8" x14ac:dyDescent="0.2">
      <c r="C220" s="36"/>
      <c r="D220" s="36"/>
      <c r="E220" s="36"/>
      <c r="F220" s="36"/>
      <c r="G220" s="36"/>
      <c r="H220" s="36"/>
    </row>
    <row r="221" spans="1:8" x14ac:dyDescent="0.2">
      <c r="C221" s="36"/>
      <c r="D221" s="36"/>
      <c r="E221" s="36"/>
      <c r="F221" s="36"/>
      <c r="G221" s="36"/>
      <c r="H221" s="36"/>
    </row>
    <row r="222" spans="1:8" x14ac:dyDescent="0.2">
      <c r="C222" s="74"/>
      <c r="D222" s="74"/>
      <c r="E222" s="74"/>
      <c r="F222" s="74"/>
      <c r="G222" s="74"/>
      <c r="H222" s="74"/>
    </row>
    <row r="223" spans="1:8" x14ac:dyDescent="0.2">
      <c r="C223" s="107"/>
      <c r="D223" s="107"/>
      <c r="E223" s="107"/>
      <c r="F223" s="107"/>
      <c r="G223" s="107"/>
      <c r="H223" s="107"/>
    </row>
    <row r="224" spans="1:8" x14ac:dyDescent="0.2">
      <c r="C224" s="108"/>
      <c r="D224" s="108"/>
      <c r="E224" s="108"/>
      <c r="F224" s="108"/>
      <c r="G224" s="108"/>
      <c r="H224" s="108"/>
    </row>
  </sheetData>
  <hyperlinks>
    <hyperlink ref="A29" location="'Finansal Veriler - Yeni Segment'!A1" display="Yukarı" xr:uid="{FF3AD004-A840-4621-8594-853CC2C2A17E}"/>
    <hyperlink ref="B12" location="'Finansal Veriler - Yeni Segment'!A193" display="Maddi, maddi olmayan duran varlıklar ile ilgili bölümler bazında bilgi" xr:uid="{34C8CE13-B62D-47E7-BC3B-64A49864BF89}"/>
    <hyperlink ref="B13" location="'Finansal Veriler - Yeni Segment'!A203" display="Net Nakit Durumu" xr:uid="{897998E3-337C-47C3-A430-3F3B50A512AE}"/>
    <hyperlink ref="A45" location="'Finansal Veriler - Yeni Segment'!A1" display="Yukarı" xr:uid="{42F15F18-EC2D-4B5C-B3C5-5ED6EFF9436F}"/>
    <hyperlink ref="A67" location="'Finansal Veriler - Yeni Segment'!A1" display="Yukarı" xr:uid="{37DF4D39-B4D2-416D-90ED-D508AB27D7C1}"/>
    <hyperlink ref="A104" location="'Finansal Veriler - Yeni Segment'!A1" display="Yukarı" xr:uid="{17549EC2-9829-4949-9F4A-721C4FB242EF}"/>
    <hyperlink ref="A203" location="'Finansal Veriler - Yeni Segment'!A1" display="Yukarı" xr:uid="{6191C796-B12B-4632-8213-5A2BCE7DE73D}"/>
    <hyperlink ref="A217" location="'Finansal Veriler - Yeni Segment'!A1" display="Yukarı" xr:uid="{83BEE4AB-0542-48E6-9147-9C685EB6B0EB}"/>
    <hyperlink ref="A193" location="'Finansal Veriler - Yeni Segment'!A1" display="Yukarı" xr:uid="{027EA7FE-5893-430D-8543-5B7C71FB80C3}"/>
    <hyperlink ref="A177" location="'Finansal Veriler - Yeni Segment'!A1" display="Yukarı" xr:uid="{3D950806-8E2E-44E6-A669-1C1420DCCC40}"/>
    <hyperlink ref="A162" location="'Finansal Veriler - Yeni Segment'!A1" display="Yukarı" xr:uid="{D983EF05-AD21-4566-9DB3-5310FB47B99A}"/>
    <hyperlink ref="A134" location="'Finansal Veriler - Yeni Segment'!A1" display="Yukarı" xr:uid="{715B018F-F568-40F2-835B-AE09031D867A}"/>
    <hyperlink ref="A82" location="'Finansal Veriler - Yeni Segment'!A1" display="Yukarı" xr:uid="{CF6D45AA-7A1D-4049-BC4D-2B0AEDCC8BDE}"/>
    <hyperlink ref="A119" location="'Finansal Veriler - Yeni Segment'!A1" display="Yukarı" xr:uid="{6CCF37E8-DEA6-4CF1-8D04-D5300F53EA5C}"/>
    <hyperlink ref="B8" location="'Finansal Veriler - Yeni Segment'!A119" display="Konsolide FAVÖK ve Net Kar Marjları Dağılımı (Çeyreklik)" xr:uid="{6CCBA7EB-A5A5-4C59-A82B-B12A313E8AF7}"/>
    <hyperlink ref="B7" location="'Finansal Veriler - Yeni Segment'!A104" display="Konsolide Gelir, FAVÖK ve Net Kar Dağılımı (Çeyreklik)" xr:uid="{E8913D24-CC79-42D7-A49B-C03A6C2FB6B9}"/>
    <hyperlink ref="B6" location="'Finansal Veriler - Yeni Segment'!A82" display="Konsolide FAVÖK ve Net Kar Marjları Dağılımı (Kümülatif)" xr:uid="{2D94AD1E-5BB7-4E60-89E2-E5C9268C719F}"/>
    <hyperlink ref="B5" location="'Finansal Veriler - Yeni Segment'!A67" display="Konsolide Gelir, FAVÖK ve Net Kar Dağılımı (Kümülatif)" xr:uid="{33039CFA-E707-4F53-AC06-19694A119C83}"/>
    <hyperlink ref="B4" location="'Finansal Veriler - Yeni Segment'!A45" display="Konsolide Özet Gelir Tablosu (Çeyreklik)" xr:uid="{A7CDB852-5E36-4568-B454-A2AE32BEA78F}"/>
    <hyperlink ref="B3" location="'Finansal Veriler - Yeni Segment'!A29" display="Konsolide Özet Gelir Tablosu (Kümülatif)" xr:uid="{7DA272A0-F1C8-41FB-882A-315992766D21}"/>
    <hyperlink ref="B9" location="'Finansal Veriler - Yeni Segment'!A134" display="Konsolide Özet Bilanço" xr:uid="{DB68F8B3-CC35-4ACB-8144-90B71236A90A}"/>
    <hyperlink ref="B11" location="'Finansal Veriler - Yeni Segment'!A177" display="Konsolide Özet Nakit Akım Tablosu" xr:uid="{90B62381-5B6D-4DB4-9B64-3AD0644EAD1B}"/>
    <hyperlink ref="B10" location="'Finansal Veriler - Yeni Segment'!A162" display="Bölümler bazında varlıklar ve kaynaklar:" xr:uid="{099A52CB-3604-4F2B-BF01-C76335113975}"/>
    <hyperlink ref="B14" location="'Finansal Veriler - Yeni Segment'!A217" display="Rasyolar" xr:uid="{5DEFA581-5235-4DCB-BF1D-E63E2B69341B}"/>
  </hyperlinks>
  <pageMargins left="0.25" right="0.25" top="0.75" bottom="0.75" header="0.3" footer="0.3"/>
  <pageSetup paperSize="8" scale="33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4ED67-0D8E-463B-B132-5BA4D43902F3}">
  <sheetPr>
    <tabColor theme="7" tint="0.39997558519241921"/>
    <pageSetUpPr fitToPage="1"/>
  </sheetPr>
  <dimension ref="A2:H148"/>
  <sheetViews>
    <sheetView zoomScale="80" zoomScaleNormal="80" workbookViewId="0">
      <pane xSplit="2" topLeftCell="C1" activePane="topRight" state="frozen"/>
      <selection pane="topRight"/>
    </sheetView>
  </sheetViews>
  <sheetFormatPr defaultColWidth="9.140625" defaultRowHeight="12.75" outlineLevelRow="2" x14ac:dyDescent="0.2"/>
  <cols>
    <col min="1" max="1" width="8.7109375" style="56" customWidth="1"/>
    <col min="2" max="2" width="68.140625" style="1" customWidth="1"/>
    <col min="3" max="8" width="10.7109375" style="1" customWidth="1"/>
    <col min="9" max="16384" width="9.140625" style="1"/>
  </cols>
  <sheetData>
    <row r="2" spans="1:8" s="94" customFormat="1" ht="24" customHeight="1" x14ac:dyDescent="0.25">
      <c r="A2" s="93"/>
      <c r="B2" s="92" t="s">
        <v>163</v>
      </c>
    </row>
    <row r="3" spans="1:8" ht="15.95" customHeight="1" x14ac:dyDescent="0.2">
      <c r="A3" s="77" t="s">
        <v>203</v>
      </c>
      <c r="B3" s="55" t="s">
        <v>149</v>
      </c>
    </row>
    <row r="4" spans="1:8" ht="15.95" customHeight="1" x14ac:dyDescent="0.2">
      <c r="A4" s="77" t="s">
        <v>203</v>
      </c>
      <c r="B4" s="55" t="s">
        <v>150</v>
      </c>
    </row>
    <row r="5" spans="1:8" ht="15.95" customHeight="1" x14ac:dyDescent="0.2">
      <c r="A5" s="77" t="s">
        <v>203</v>
      </c>
      <c r="B5" s="55" t="s">
        <v>151</v>
      </c>
    </row>
    <row r="6" spans="1:8" ht="15.95" customHeight="1" x14ac:dyDescent="0.2">
      <c r="A6" s="77" t="s">
        <v>203</v>
      </c>
      <c r="B6" s="55" t="s">
        <v>218</v>
      </c>
    </row>
    <row r="7" spans="1:8" ht="15.95" customHeight="1" x14ac:dyDescent="0.2">
      <c r="A7" s="77" t="s">
        <v>203</v>
      </c>
      <c r="B7" s="55" t="s">
        <v>152</v>
      </c>
    </row>
    <row r="8" spans="1:8" ht="15.95" customHeight="1" x14ac:dyDescent="0.2">
      <c r="A8" s="77" t="s">
        <v>203</v>
      </c>
      <c r="B8" s="55" t="s">
        <v>215</v>
      </c>
    </row>
    <row r="9" spans="1:8" ht="15.95" customHeight="1" x14ac:dyDescent="0.2">
      <c r="A9" s="77" t="s">
        <v>203</v>
      </c>
      <c r="B9" s="55" t="s">
        <v>160</v>
      </c>
    </row>
    <row r="10" spans="1:8" ht="15.95" customHeight="1" x14ac:dyDescent="0.2">
      <c r="A10" s="77" t="s">
        <v>203</v>
      </c>
      <c r="B10" s="55" t="s">
        <v>165</v>
      </c>
    </row>
    <row r="11" spans="1:8" ht="15.95" customHeight="1" x14ac:dyDescent="0.2">
      <c r="A11" s="77"/>
      <c r="B11" s="55"/>
    </row>
    <row r="12" spans="1:8" x14ac:dyDescent="0.2">
      <c r="A12" s="77"/>
      <c r="B12" s="55"/>
    </row>
    <row r="13" spans="1:8" ht="15.95" customHeight="1" outlineLevel="1" x14ac:dyDescent="0.2">
      <c r="B13" s="86" t="s">
        <v>213</v>
      </c>
      <c r="C13" s="97">
        <v>13.924300000000001</v>
      </c>
      <c r="D13" s="97">
        <v>14.833299999999999</v>
      </c>
      <c r="E13" s="97">
        <v>15.8622</v>
      </c>
      <c r="F13" s="97">
        <v>16.551200000000005</v>
      </c>
      <c r="G13" s="97">
        <v>18.849900000000002</v>
      </c>
      <c r="H13" s="97">
        <v>19.8218</v>
      </c>
    </row>
    <row r="14" spans="1:8" ht="15.95" customHeight="1" outlineLevel="1" thickBot="1" x14ac:dyDescent="0.25">
      <c r="B14" s="88" t="s">
        <v>214</v>
      </c>
      <c r="C14" s="98">
        <v>14.645799999999999</v>
      </c>
      <c r="D14" s="98">
        <v>16.669</v>
      </c>
      <c r="E14" s="98">
        <v>18.503799999999998</v>
      </c>
      <c r="F14" s="98">
        <v>18.698299999999993</v>
      </c>
      <c r="G14" s="98">
        <v>19.146000000000001</v>
      </c>
      <c r="H14" s="98">
        <v>25.8231</v>
      </c>
    </row>
    <row r="16" spans="1:8" ht="20.100000000000001" customHeight="1" outlineLevel="1" x14ac:dyDescent="0.2">
      <c r="B16" s="32" t="s">
        <v>149</v>
      </c>
      <c r="C16" s="33"/>
      <c r="D16" s="33"/>
      <c r="E16" s="33"/>
      <c r="F16" s="33"/>
      <c r="G16" s="33"/>
      <c r="H16" s="33"/>
    </row>
    <row r="17" spans="1:8" outlineLevel="1" x14ac:dyDescent="0.2">
      <c r="B17" s="31" t="s">
        <v>244</v>
      </c>
      <c r="C17" s="35" t="s">
        <v>233</v>
      </c>
      <c r="D17" s="35" t="s">
        <v>234</v>
      </c>
      <c r="E17" s="35" t="s">
        <v>235</v>
      </c>
      <c r="F17" s="35">
        <v>2022</v>
      </c>
      <c r="G17" s="35" t="s">
        <v>238</v>
      </c>
      <c r="H17" s="35" t="s">
        <v>239</v>
      </c>
    </row>
    <row r="18" spans="1:8" ht="15" customHeight="1" outlineLevel="1" x14ac:dyDescent="0.2">
      <c r="B18" s="9" t="s">
        <v>66</v>
      </c>
      <c r="C18" s="104">
        <f>'Finansallar - Yeni Segment'!C18/C$13</f>
        <v>380.32978318479206</v>
      </c>
      <c r="D18" s="104">
        <f>'Finansallar - Yeni Segment'!D18/D$13</f>
        <v>876.07922714433073</v>
      </c>
      <c r="E18" s="104">
        <f>'Finansallar - Yeni Segment'!E18/E$13</f>
        <v>1337.6524693926442</v>
      </c>
      <c r="F18" s="104">
        <f>'Finansallar - Yeni Segment'!F18/F$13</f>
        <v>1852.9467349799404</v>
      </c>
      <c r="G18" s="104">
        <f>'Finansallar - Yeni Segment'!G18/G$13</f>
        <v>490.92599960742496</v>
      </c>
      <c r="H18" s="104">
        <f>'Finansallar - Yeni Segment'!H18/H$13</f>
        <v>911.36370057209729</v>
      </c>
    </row>
    <row r="19" spans="1:8" ht="15" customHeight="1" outlineLevel="1" x14ac:dyDescent="0.2">
      <c r="B19" s="2" t="s">
        <v>67</v>
      </c>
      <c r="C19" s="109">
        <f>'Finansallar - Yeni Segment'!C19/C$13</f>
        <v>21.597135942201763</v>
      </c>
      <c r="D19" s="109">
        <f>'Finansallar - Yeni Segment'!D19/D$13</f>
        <v>117.54194953247087</v>
      </c>
      <c r="E19" s="109">
        <f>'Finansallar - Yeni Segment'!E19/E$13</f>
        <v>172.1312302202721</v>
      </c>
      <c r="F19" s="109">
        <f>'Finansallar - Yeni Segment'!F19/F$13</f>
        <v>218.10146696312043</v>
      </c>
      <c r="G19" s="109">
        <f>'Finansallar - Yeni Segment'!G19/G$13</f>
        <v>41.73528772035926</v>
      </c>
      <c r="H19" s="109">
        <f>'Finansallar - Yeni Segment'!H19/H$13</f>
        <v>106.21008182909726</v>
      </c>
    </row>
    <row r="20" spans="1:8" ht="15" customHeight="1" outlineLevel="1" x14ac:dyDescent="0.2">
      <c r="B20" s="22" t="s">
        <v>68</v>
      </c>
      <c r="C20" s="38">
        <f>C19/C18</f>
        <v>5.6785287129901926E-2</v>
      </c>
      <c r="D20" s="38">
        <f>D19/D18</f>
        <v>0.13416817325484454</v>
      </c>
      <c r="E20" s="38">
        <f>E19/E18</f>
        <v>0.12868157773328642</v>
      </c>
      <c r="F20" s="38">
        <f t="shared" ref="C20:G20" si="0">F19/F18</f>
        <v>0.11770520050350047</v>
      </c>
      <c r="G20" s="38">
        <f>G19/G18</f>
        <v>8.5013398666465817E-2</v>
      </c>
      <c r="H20" s="38">
        <f>H19/H18</f>
        <v>0.11653973244976204</v>
      </c>
    </row>
    <row r="21" spans="1:8" ht="15" customHeight="1" outlineLevel="1" x14ac:dyDescent="0.2">
      <c r="B21" s="2" t="s">
        <v>69</v>
      </c>
      <c r="C21" s="109">
        <f>'Finansallar - Yeni Segment'!C21/C$13</f>
        <v>-12.772419439397313</v>
      </c>
      <c r="D21" s="109">
        <f>'Finansallar - Yeni Segment'!D21/D$13</f>
        <v>39.586066485542666</v>
      </c>
      <c r="E21" s="109">
        <f>'Finansallar - Yeni Segment'!E21/E$13</f>
        <v>63.534818625411361</v>
      </c>
      <c r="F21" s="109">
        <f>'Finansallar - Yeni Segment'!F21/F$13</f>
        <v>142.00861568949679</v>
      </c>
      <c r="G21" s="109">
        <f>'Finansallar - Yeni Segment'!G21/G$13</f>
        <v>-7.3378638613467446</v>
      </c>
      <c r="H21" s="109">
        <f>'Finansallar - Yeni Segment'!H21/H$13</f>
        <v>-25.182425410406726</v>
      </c>
    </row>
    <row r="22" spans="1:8" ht="15" customHeight="1" outlineLevel="1" x14ac:dyDescent="0.2">
      <c r="B22" s="22" t="s">
        <v>68</v>
      </c>
      <c r="C22" s="38">
        <f t="shared" ref="C22:G22" si="1">C21/C18</f>
        <v>-3.3582485527281297E-2</v>
      </c>
      <c r="D22" s="38">
        <f t="shared" si="1"/>
        <v>4.5185486950281281E-2</v>
      </c>
      <c r="E22" s="38">
        <f t="shared" si="1"/>
        <v>4.7497253643361562E-2</v>
      </c>
      <c r="F22" s="38">
        <f t="shared" si="1"/>
        <v>7.6639340467082637E-2</v>
      </c>
      <c r="G22" s="38">
        <f t="shared" si="1"/>
        <v>-1.4946985629635746E-2</v>
      </c>
      <c r="H22" s="38">
        <f t="shared" ref="H22" si="2">H21/H18</f>
        <v>-2.7631587032266886E-2</v>
      </c>
    </row>
    <row r="23" spans="1:8" ht="15" customHeight="1" outlineLevel="1" x14ac:dyDescent="0.2">
      <c r="B23" s="2" t="s">
        <v>70</v>
      </c>
      <c r="C23" s="109">
        <f>'Finansallar - Yeni Segment'!C23/C$13</f>
        <v>9.1152876625754971</v>
      </c>
      <c r="D23" s="109">
        <f>'Finansallar - Yeni Segment'!D23/D$13</f>
        <v>85.222438702109457</v>
      </c>
      <c r="E23" s="109">
        <f>'Finansallar - Yeni Segment'!E23/E$13</f>
        <v>124.16360908322932</v>
      </c>
      <c r="F23" s="109">
        <f>'Finansallar - Yeni Segment'!F23/F$13</f>
        <v>206.01424670114548</v>
      </c>
      <c r="G23" s="109">
        <f>'Finansallar - Yeni Segment'!G23/G$13</f>
        <v>13.230149762067702</v>
      </c>
      <c r="H23" s="109">
        <f>'Finansallar - Yeni Segment'!H23/H$13</f>
        <v>53.342834656792022</v>
      </c>
    </row>
    <row r="24" spans="1:8" ht="15" customHeight="1" outlineLevel="1" x14ac:dyDescent="0.2">
      <c r="B24" s="22" t="s">
        <v>68</v>
      </c>
      <c r="C24" s="38">
        <f t="shared" ref="C24:G24" si="3">C23/C18</f>
        <v>2.396679951342812E-2</v>
      </c>
      <c r="D24" s="38">
        <f t="shared" si="3"/>
        <v>9.7277090999978E-2</v>
      </c>
      <c r="E24" s="38">
        <f t="shared" si="3"/>
        <v>9.2822023600498654E-2</v>
      </c>
      <c r="F24" s="38">
        <f t="shared" si="3"/>
        <v>0.111181958343436</v>
      </c>
      <c r="G24" s="38">
        <f t="shared" si="3"/>
        <v>2.6949376836116552E-2</v>
      </c>
      <c r="H24" s="38">
        <f t="shared" ref="H24" si="4">H23/H18</f>
        <v>5.8530787020929974E-2</v>
      </c>
    </row>
    <row r="25" spans="1:8" ht="15" customHeight="1" outlineLevel="1" x14ac:dyDescent="0.2">
      <c r="B25" s="1" t="s">
        <v>71</v>
      </c>
      <c r="C25" s="110">
        <f>'Finansallar - Yeni Segment'!C25/C$13</f>
        <v>14.562383746400174</v>
      </c>
      <c r="D25" s="110">
        <f>'Finansallar - Yeni Segment'!D25/D$13</f>
        <v>25.74450729102762</v>
      </c>
      <c r="E25" s="110">
        <f>'Finansallar - Yeni Segment'!E25/E$13</f>
        <v>27.79337040259233</v>
      </c>
      <c r="F25" s="110">
        <f>'Finansallar - Yeni Segment'!F25/F$13</f>
        <v>13.563367006621872</v>
      </c>
      <c r="G25" s="110">
        <f>'Finansallar - Yeni Segment'!G25/G$13</f>
        <v>-0.72976514464267705</v>
      </c>
      <c r="H25" s="110">
        <f>'Finansallar - Yeni Segment'!H25/H$13</f>
        <v>-0.56079669858438619</v>
      </c>
    </row>
    <row r="26" spans="1:8" ht="15" customHeight="1" outlineLevel="1" x14ac:dyDescent="0.2">
      <c r="B26" s="66" t="s">
        <v>185</v>
      </c>
      <c r="C26" s="109">
        <f>'Finansallar - Yeni Segment'!C26/C$13</f>
        <v>11.934244450349388</v>
      </c>
      <c r="D26" s="109">
        <f>'Finansallar - Yeni Segment'!D26/D$13</f>
        <v>90.123438479637031</v>
      </c>
      <c r="E26" s="109">
        <f>'Finansallar - Yeni Segment'!E26/E$13</f>
        <v>129.25735396098904</v>
      </c>
      <c r="F26" s="109">
        <f>'Finansallar - Yeni Segment'!F26/F$13</f>
        <v>195.24620571318087</v>
      </c>
      <c r="G26" s="109">
        <f>'Finansallar - Yeni Segment'!G26/G$13</f>
        <v>-1.8144393338956704</v>
      </c>
      <c r="H26" s="109">
        <f>'Finansallar - Yeni Segment'!H26/H$13</f>
        <v>15.191657669838259</v>
      </c>
    </row>
    <row r="27" spans="1:8" ht="15" customHeight="1" outlineLevel="1" x14ac:dyDescent="0.2">
      <c r="B27" s="1" t="s">
        <v>72</v>
      </c>
      <c r="C27" s="110">
        <f>'Finansallar - Yeni Segment'!C27/C$13</f>
        <v>-4.8207091200275771</v>
      </c>
      <c r="D27" s="110">
        <f>'Finansallar - Yeni Segment'!D27/D$13</f>
        <v>-18.247119656448668</v>
      </c>
      <c r="E27" s="110">
        <f>'Finansallar - Yeni Segment'!E27/E$13</f>
        <v>-16.109871266280845</v>
      </c>
      <c r="F27" s="110">
        <f>'Finansallar - Yeni Segment'!F27/F$13</f>
        <v>13.100681521581512</v>
      </c>
      <c r="G27" s="110">
        <f>'Finansallar - Yeni Segment'!G27/G$13</f>
        <v>-18.004286494888568</v>
      </c>
      <c r="H27" s="110">
        <f>'Finansallar - Yeni Segment'!H27/H$13</f>
        <v>-10.864250471702873</v>
      </c>
    </row>
    <row r="28" spans="1:8" ht="15" customHeight="1" outlineLevel="1" x14ac:dyDescent="0.2">
      <c r="B28" s="46" t="s">
        <v>73</v>
      </c>
      <c r="C28" s="111">
        <f>'Finansallar - Yeni Segment'!C28/C$13</f>
        <v>7.1135353303218114</v>
      </c>
      <c r="D28" s="111">
        <f>'Finansallar - Yeni Segment'!D28/D$13</f>
        <v>71.87631882318837</v>
      </c>
      <c r="E28" s="111">
        <f>'Finansallar - Yeni Segment'!E28/E$13</f>
        <v>113.14748269470817</v>
      </c>
      <c r="F28" s="111">
        <f>'Finansallar - Yeni Segment'!F28/F$13</f>
        <v>208.34688723476236</v>
      </c>
      <c r="G28" s="111">
        <f>'Finansallar - Yeni Segment'!G28/G$13</f>
        <v>-19.818725828784238</v>
      </c>
      <c r="H28" s="111">
        <f>'Finansallar - Yeni Segment'!H28/H$13</f>
        <v>4.3274071981353863</v>
      </c>
    </row>
    <row r="29" spans="1:8" ht="15" customHeight="1" outlineLevel="1" x14ac:dyDescent="0.2">
      <c r="A29" s="55" t="s">
        <v>164</v>
      </c>
      <c r="B29" s="48" t="s">
        <v>68</v>
      </c>
      <c r="C29" s="49">
        <f t="shared" ref="C29:G29" si="5">C28/C18</f>
        <v>1.8703597890111948E-2</v>
      </c>
      <c r="D29" s="49">
        <f t="shared" si="5"/>
        <v>8.2043172119805344E-2</v>
      </c>
      <c r="E29" s="49">
        <f t="shared" si="5"/>
        <v>8.4586606225219574E-2</v>
      </c>
      <c r="F29" s="49">
        <f t="shared" si="5"/>
        <v>0.11244083993435347</v>
      </c>
      <c r="G29" s="49">
        <f t="shared" si="5"/>
        <v>-4.0370088047144634E-2</v>
      </c>
      <c r="H29" s="49">
        <f t="shared" ref="H29" si="6">H28/H18</f>
        <v>4.7482768903555298E-3</v>
      </c>
    </row>
    <row r="32" spans="1:8" ht="20.100000000000001" customHeight="1" outlineLevel="1" x14ac:dyDescent="0.2">
      <c r="B32" s="32" t="s">
        <v>150</v>
      </c>
      <c r="C32" s="33"/>
      <c r="D32" s="33"/>
      <c r="E32" s="33"/>
      <c r="F32" s="33"/>
      <c r="G32" s="33"/>
      <c r="H32" s="33"/>
    </row>
    <row r="33" spans="1:8" outlineLevel="1" x14ac:dyDescent="0.2">
      <c r="B33" s="31" t="s">
        <v>244</v>
      </c>
      <c r="C33" s="35" t="s">
        <v>225</v>
      </c>
      <c r="D33" s="35" t="s">
        <v>227</v>
      </c>
      <c r="E33" s="35" t="s">
        <v>228</v>
      </c>
      <c r="F33" s="35" t="s">
        <v>236</v>
      </c>
      <c r="G33" s="35" t="s">
        <v>237</v>
      </c>
      <c r="H33" s="35" t="s">
        <v>240</v>
      </c>
    </row>
    <row r="34" spans="1:8" ht="15" customHeight="1" outlineLevel="1" x14ac:dyDescent="0.2">
      <c r="B34" s="9" t="s">
        <v>66</v>
      </c>
      <c r="C34" s="124">
        <f>+C18</f>
        <v>380.32978318479206</v>
      </c>
      <c r="D34" s="103">
        <f t="shared" ref="D34:H35" si="7">+D18-C18</f>
        <v>495.74944395953867</v>
      </c>
      <c r="E34" s="103">
        <f>+E18-D18</f>
        <v>461.57324224831348</v>
      </c>
      <c r="F34" s="103">
        <f t="shared" si="7"/>
        <v>515.2942655872962</v>
      </c>
      <c r="G34" s="124">
        <f>+G18</f>
        <v>490.92599960742496</v>
      </c>
      <c r="H34" s="103">
        <f t="shared" si="7"/>
        <v>420.43770096467233</v>
      </c>
    </row>
    <row r="35" spans="1:8" ht="15" customHeight="1" outlineLevel="1" x14ac:dyDescent="0.2">
      <c r="B35" s="2" t="s">
        <v>67</v>
      </c>
      <c r="C35" s="125">
        <f>+C19</f>
        <v>21.597135942201763</v>
      </c>
      <c r="D35" s="112">
        <f t="shared" si="7"/>
        <v>95.944813590269106</v>
      </c>
      <c r="E35" s="112">
        <f t="shared" si="7"/>
        <v>54.589280687801235</v>
      </c>
      <c r="F35" s="112">
        <f t="shared" si="7"/>
        <v>45.970236742848329</v>
      </c>
      <c r="G35" s="125">
        <f>+G19</f>
        <v>41.73528772035926</v>
      </c>
      <c r="H35" s="112">
        <f t="shared" si="7"/>
        <v>64.474794108737996</v>
      </c>
    </row>
    <row r="36" spans="1:8" ht="15" customHeight="1" outlineLevel="1" x14ac:dyDescent="0.2">
      <c r="B36" s="22" t="s">
        <v>68</v>
      </c>
      <c r="C36" s="126">
        <f t="shared" ref="C36:G36" si="8">+C35/C34</f>
        <v>5.6785287129901926E-2</v>
      </c>
      <c r="D36" s="38">
        <f t="shared" si="8"/>
        <v>0.19353488896318316</v>
      </c>
      <c r="E36" s="38">
        <f t="shared" si="8"/>
        <v>0.11826786236978991</v>
      </c>
      <c r="F36" s="38">
        <f t="shared" si="8"/>
        <v>8.9211621034545538E-2</v>
      </c>
      <c r="G36" s="126">
        <f t="shared" si="8"/>
        <v>8.5013398666465817E-2</v>
      </c>
      <c r="H36" s="38">
        <f t="shared" ref="H36" si="9">+H35/H34</f>
        <v>0.15335159991790448</v>
      </c>
    </row>
    <row r="37" spans="1:8" ht="15" customHeight="1" outlineLevel="1" x14ac:dyDescent="0.2">
      <c r="B37" s="2" t="s">
        <v>69</v>
      </c>
      <c r="C37" s="127">
        <f>+C21</f>
        <v>-12.772419439397313</v>
      </c>
      <c r="D37" s="106">
        <f>+D21-C21</f>
        <v>52.358485924939977</v>
      </c>
      <c r="E37" s="106">
        <f>+E21-D21</f>
        <v>23.948752139868695</v>
      </c>
      <c r="F37" s="106">
        <f>+F21-E21</f>
        <v>78.473797064085431</v>
      </c>
      <c r="G37" s="127">
        <f>+G21</f>
        <v>-7.3378638613467446</v>
      </c>
      <c r="H37" s="106">
        <f>+H21-G21</f>
        <v>-17.844561549059982</v>
      </c>
    </row>
    <row r="38" spans="1:8" ht="15" customHeight="1" outlineLevel="1" x14ac:dyDescent="0.2">
      <c r="B38" s="22" t="s">
        <v>68</v>
      </c>
      <c r="C38" s="126">
        <f t="shared" ref="C38:G38" si="10">+C37/C34</f>
        <v>-3.3582485527281297E-2</v>
      </c>
      <c r="D38" s="38">
        <f t="shared" si="10"/>
        <v>0.10561481523156946</v>
      </c>
      <c r="E38" s="38">
        <f t="shared" si="10"/>
        <v>5.1885053005271346E-2</v>
      </c>
      <c r="F38" s="38">
        <f t="shared" si="10"/>
        <v>0.15228928847994555</v>
      </c>
      <c r="G38" s="126">
        <f t="shared" si="10"/>
        <v>-1.4946985629635746E-2</v>
      </c>
      <c r="H38" s="38">
        <f t="shared" ref="H38" si="11">+H37/H34</f>
        <v>-4.2442819728384415E-2</v>
      </c>
    </row>
    <row r="39" spans="1:8" ht="15" customHeight="1" outlineLevel="1" x14ac:dyDescent="0.2">
      <c r="B39" s="2" t="s">
        <v>70</v>
      </c>
      <c r="C39" s="125">
        <f>+C23</f>
        <v>9.1152876625754971</v>
      </c>
      <c r="D39" s="112">
        <f>+D23-C23</f>
        <v>76.10715103953396</v>
      </c>
      <c r="E39" s="112">
        <f>+E23-D23</f>
        <v>38.941170381119861</v>
      </c>
      <c r="F39" s="112">
        <f>+F23-E23</f>
        <v>81.850637617916163</v>
      </c>
      <c r="G39" s="125">
        <f>+G23</f>
        <v>13.230149762067702</v>
      </c>
      <c r="H39" s="112">
        <f>+H23-G23</f>
        <v>40.112684894724318</v>
      </c>
    </row>
    <row r="40" spans="1:8" ht="15" customHeight="1" outlineLevel="1" x14ac:dyDescent="0.2">
      <c r="B40" s="22" t="s">
        <v>68</v>
      </c>
      <c r="C40" s="126">
        <f t="shared" ref="C40:G40" si="12">+C39/C34</f>
        <v>2.396679951342812E-2</v>
      </c>
      <c r="D40" s="38">
        <f t="shared" si="12"/>
        <v>0.15351938759964712</v>
      </c>
      <c r="E40" s="38">
        <f t="shared" si="12"/>
        <v>8.4366178142039269E-2</v>
      </c>
      <c r="F40" s="38">
        <f t="shared" si="12"/>
        <v>0.15884251598381083</v>
      </c>
      <c r="G40" s="126">
        <f t="shared" si="12"/>
        <v>2.6949376836116552E-2</v>
      </c>
      <c r="H40" s="38">
        <f t="shared" ref="H40" si="13">+H39/H34</f>
        <v>9.540696470056767E-2</v>
      </c>
    </row>
    <row r="41" spans="1:8" ht="15" customHeight="1" outlineLevel="1" x14ac:dyDescent="0.2">
      <c r="B41" s="1" t="s">
        <v>71</v>
      </c>
      <c r="C41" s="128">
        <f>+C25</f>
        <v>14.562383746400174</v>
      </c>
      <c r="D41" s="50">
        <f t="shared" ref="D41:H44" si="14">+D25-C25</f>
        <v>11.182123544627446</v>
      </c>
      <c r="E41" s="50">
        <f t="shared" si="14"/>
        <v>2.0488631115647102</v>
      </c>
      <c r="F41" s="50">
        <f t="shared" si="14"/>
        <v>-14.230003395970458</v>
      </c>
      <c r="G41" s="128">
        <f t="shared" ref="G41:H44" si="15">+G25</f>
        <v>-0.72976514464267705</v>
      </c>
      <c r="H41" s="50">
        <f t="shared" si="14"/>
        <v>0.16896844605829087</v>
      </c>
    </row>
    <row r="42" spans="1:8" ht="15" customHeight="1" outlineLevel="1" x14ac:dyDescent="0.2">
      <c r="B42" s="66" t="s">
        <v>185</v>
      </c>
      <c r="C42" s="129">
        <f>+C26</f>
        <v>11.934244450349388</v>
      </c>
      <c r="D42" s="113">
        <f t="shared" si="14"/>
        <v>78.189194029287648</v>
      </c>
      <c r="E42" s="113">
        <f t="shared" si="14"/>
        <v>39.133915481352005</v>
      </c>
      <c r="F42" s="113">
        <f t="shared" si="14"/>
        <v>65.988851752191835</v>
      </c>
      <c r="G42" s="129">
        <f t="shared" si="15"/>
        <v>-1.8144393338956704</v>
      </c>
      <c r="H42" s="113">
        <f t="shared" si="14"/>
        <v>17.006097003733927</v>
      </c>
    </row>
    <row r="43" spans="1:8" ht="15" customHeight="1" outlineLevel="1" x14ac:dyDescent="0.2">
      <c r="B43" s="1" t="s">
        <v>72</v>
      </c>
      <c r="C43" s="128">
        <f>+C27</f>
        <v>-4.8207091200275771</v>
      </c>
      <c r="D43" s="50">
        <f t="shared" si="14"/>
        <v>-13.426410536421091</v>
      </c>
      <c r="E43" s="50">
        <f t="shared" si="14"/>
        <v>2.137248390167823</v>
      </c>
      <c r="F43" s="50">
        <f t="shared" si="14"/>
        <v>29.210552787862355</v>
      </c>
      <c r="G43" s="128">
        <f t="shared" si="15"/>
        <v>-18.004286494888568</v>
      </c>
      <c r="H43" s="50">
        <f t="shared" si="14"/>
        <v>7.1400360231856954</v>
      </c>
    </row>
    <row r="44" spans="1:8" ht="15" customHeight="1" outlineLevel="1" x14ac:dyDescent="0.2">
      <c r="B44" s="46" t="s">
        <v>73</v>
      </c>
      <c r="C44" s="114">
        <f>+C28</f>
        <v>7.1135353303218114</v>
      </c>
      <c r="D44" s="114">
        <f t="shared" si="14"/>
        <v>64.762783492866561</v>
      </c>
      <c r="E44" s="114">
        <f t="shared" si="14"/>
        <v>41.271163871519803</v>
      </c>
      <c r="F44" s="114">
        <f t="shared" si="14"/>
        <v>95.199404540054189</v>
      </c>
      <c r="G44" s="114">
        <f t="shared" si="15"/>
        <v>-19.818725828784238</v>
      </c>
      <c r="H44" s="114">
        <f t="shared" si="14"/>
        <v>24.146133026919625</v>
      </c>
    </row>
    <row r="45" spans="1:8" ht="15" customHeight="1" outlineLevel="1" x14ac:dyDescent="0.2">
      <c r="A45" s="55" t="s">
        <v>164</v>
      </c>
      <c r="B45" s="48" t="s">
        <v>68</v>
      </c>
      <c r="C45" s="49">
        <f t="shared" ref="C45:G45" si="16">+C44/C34</f>
        <v>1.8703597890111948E-2</v>
      </c>
      <c r="D45" s="49">
        <f t="shared" si="16"/>
        <v>0.13063611927752816</v>
      </c>
      <c r="E45" s="49">
        <f t="shared" si="16"/>
        <v>8.9414116967631921E-2</v>
      </c>
      <c r="F45" s="49">
        <f t="shared" si="16"/>
        <v>0.18474764983373645</v>
      </c>
      <c r="G45" s="49">
        <f t="shared" si="16"/>
        <v>-4.0370088047144634E-2</v>
      </c>
      <c r="H45" s="49">
        <f t="shared" ref="H45" si="17">+H44/H34</f>
        <v>5.7430941543818705E-2</v>
      </c>
    </row>
    <row r="48" spans="1:8" ht="20.100000000000001" customHeight="1" outlineLevel="1" x14ac:dyDescent="0.2">
      <c r="B48" s="32" t="s">
        <v>151</v>
      </c>
      <c r="C48" s="33"/>
      <c r="D48" s="33"/>
      <c r="E48" s="33"/>
      <c r="F48" s="33"/>
      <c r="G48" s="33"/>
      <c r="H48" s="33"/>
    </row>
    <row r="49" spans="2:8" outlineLevel="1" x14ac:dyDescent="0.2">
      <c r="B49" s="34" t="s">
        <v>244</v>
      </c>
      <c r="C49" s="35" t="s">
        <v>233</v>
      </c>
      <c r="D49" s="35" t="s">
        <v>234</v>
      </c>
      <c r="E49" s="35" t="s">
        <v>235</v>
      </c>
      <c r="F49" s="35">
        <v>2022</v>
      </c>
      <c r="G49" s="35" t="s">
        <v>238</v>
      </c>
      <c r="H49" s="35" t="s">
        <v>239</v>
      </c>
    </row>
    <row r="50" spans="2:8" ht="15" customHeight="1" outlineLevel="1" x14ac:dyDescent="0.2">
      <c r="B50" s="42" t="s">
        <v>196</v>
      </c>
      <c r="C50" s="104">
        <f>'Finansallar - Yeni Segment'!C50/C$13</f>
        <v>141.73926157867899</v>
      </c>
      <c r="D50" s="104">
        <f>'Finansallar - Yeni Segment'!D50/D$13</f>
        <v>334.60356090687844</v>
      </c>
      <c r="E50" s="104">
        <f>'Finansallar - Yeni Segment'!E50/E$13</f>
        <v>479.88778353570126</v>
      </c>
      <c r="F50" s="104">
        <f>'Finansallar - Yeni Segment'!F50/F$13</f>
        <v>662.07151143119506</v>
      </c>
      <c r="G50" s="104">
        <f>'Finansallar - Yeni Segment'!G50/G$13</f>
        <v>153.42054865012545</v>
      </c>
      <c r="H50" s="104">
        <f>'Finansallar - Yeni Segment'!H50/H$13</f>
        <v>335.3421485435228</v>
      </c>
    </row>
    <row r="51" spans="2:8" ht="15" customHeight="1" outlineLevel="1" x14ac:dyDescent="0.2">
      <c r="B51" s="24" t="s">
        <v>241</v>
      </c>
      <c r="C51" s="104">
        <f>'Finansallar - Yeni Segment'!C51/C$13</f>
        <v>236.33051571712761</v>
      </c>
      <c r="D51" s="104">
        <f>'Finansallar - Yeni Segment'!D51/D$13</f>
        <v>536.97275724215115</v>
      </c>
      <c r="E51" s="104">
        <f>'Finansallar - Yeni Segment'!E51/E$13</f>
        <v>851.11680599160263</v>
      </c>
      <c r="F51" s="104">
        <f>'Finansallar - Yeni Segment'!F51/F$13</f>
        <v>1181.8824012760401</v>
      </c>
      <c r="G51" s="104">
        <f>'Finansallar - Yeni Segment'!G51/G$13</f>
        <v>334.38012933755613</v>
      </c>
      <c r="H51" s="104">
        <f>'Finansallar - Yeni Segment'!H51/H$13</f>
        <v>570.03753443178721</v>
      </c>
    </row>
    <row r="52" spans="2:8" ht="15" customHeight="1" outlineLevel="1" x14ac:dyDescent="0.2">
      <c r="B52" s="24" t="s">
        <v>200</v>
      </c>
      <c r="C52" s="104">
        <f>'Finansallar - Yeni Segment'!C52/C$13</f>
        <v>2.2600058889854426</v>
      </c>
      <c r="D52" s="104">
        <f>'Finansallar - Yeni Segment'!D52/D$13</f>
        <v>4.5029764111829467</v>
      </c>
      <c r="E52" s="104">
        <f>'Finansallar - Yeni Segment'!E52/E$13</f>
        <v>6.6478798653402436</v>
      </c>
      <c r="F52" s="104">
        <f>'Finansallar - Yeni Segment'!F52/F$13</f>
        <v>8.9928222727053004</v>
      </c>
      <c r="G52" s="104">
        <f>'Finansallar - Yeni Segment'!G52/G$13</f>
        <v>3.1253216197433407</v>
      </c>
      <c r="H52" s="104">
        <f>'Finansallar - Yeni Segment'!H52/H$13</f>
        <v>5.9840680462924656</v>
      </c>
    </row>
    <row r="53" spans="2:8" ht="15" hidden="1" customHeight="1" outlineLevel="2" x14ac:dyDescent="0.2">
      <c r="B53" s="24"/>
      <c r="C53" s="104"/>
      <c r="D53" s="104"/>
      <c r="E53" s="104"/>
      <c r="F53" s="104"/>
      <c r="G53" s="104"/>
      <c r="H53" s="104"/>
    </row>
    <row r="54" spans="2:8" ht="15" hidden="1" customHeight="1" outlineLevel="2" x14ac:dyDescent="0.2">
      <c r="B54" s="24"/>
      <c r="C54" s="104"/>
      <c r="D54" s="104"/>
      <c r="E54" s="104"/>
      <c r="F54" s="104"/>
      <c r="G54" s="104"/>
      <c r="H54" s="104"/>
    </row>
    <row r="55" spans="2:8" ht="15" customHeight="1" outlineLevel="1" collapsed="1" x14ac:dyDescent="0.2">
      <c r="B55" s="43" t="s">
        <v>77</v>
      </c>
      <c r="C55" s="102">
        <f t="shared" ref="C55:G55" si="18">SUM(C50:C54)</f>
        <v>380.32978318479206</v>
      </c>
      <c r="D55" s="102">
        <f t="shared" si="18"/>
        <v>876.07929456021259</v>
      </c>
      <c r="E55" s="102">
        <f t="shared" si="18"/>
        <v>1337.652469392644</v>
      </c>
      <c r="F55" s="102">
        <f t="shared" si="18"/>
        <v>1852.9467349799406</v>
      </c>
      <c r="G55" s="102">
        <f t="shared" si="18"/>
        <v>490.9259996074249</v>
      </c>
      <c r="H55" s="102">
        <f t="shared" ref="H55" si="19">SUM(H50:H54)</f>
        <v>911.36375102160252</v>
      </c>
    </row>
    <row r="56" spans="2:8" ht="15" customHeight="1" outlineLevel="1" x14ac:dyDescent="0.2">
      <c r="B56" s="42" t="s">
        <v>196</v>
      </c>
      <c r="C56" s="104">
        <f>'Finansallar - Yeni Segment'!C56/C$13</f>
        <v>-32.86240600963783</v>
      </c>
      <c r="D56" s="104">
        <f>'Finansallar - Yeni Segment'!D56/D$13</f>
        <v>-10.324877134555358</v>
      </c>
      <c r="E56" s="104">
        <f>'Finansallar - Yeni Segment'!E56/E$13</f>
        <v>-21.036300134911929</v>
      </c>
      <c r="F56" s="104">
        <f>'Finansallar - Yeni Segment'!F56/F$13</f>
        <v>39.94103146599641</v>
      </c>
      <c r="G56" s="104">
        <f>'Finansallar - Yeni Segment'!G56/G$13</f>
        <v>7.2512851527063802</v>
      </c>
      <c r="H56" s="104">
        <f>'Finansallar - Yeni Segment'!H56/H$13</f>
        <v>16.983523191637492</v>
      </c>
    </row>
    <row r="57" spans="2:8" ht="15" customHeight="1" outlineLevel="1" x14ac:dyDescent="0.2">
      <c r="B57" s="24" t="s">
        <v>241</v>
      </c>
      <c r="C57" s="104">
        <f>'Finansallar - Yeni Segment'!C57/C$13</f>
        <v>43.171721379171657</v>
      </c>
      <c r="D57" s="104">
        <f>'Finansallar - Yeni Segment'!D57/D$13</f>
        <v>98.02498432580748</v>
      </c>
      <c r="E57" s="104">
        <f>'Finansallar - Yeni Segment'!E57/E$13</f>
        <v>148.54566201409639</v>
      </c>
      <c r="F57" s="104">
        <f>'Finansallar - Yeni Segment'!F57/F$13</f>
        <v>172.43486877084436</v>
      </c>
      <c r="G57" s="104">
        <f>'Finansallar - Yeni Segment'!G57/G$13</f>
        <v>8.197497068949966</v>
      </c>
      <c r="H57" s="104">
        <f>'Finansallar - Yeni Segment'!H57/H$13</f>
        <v>42.45063515926909</v>
      </c>
    </row>
    <row r="58" spans="2:8" ht="15" customHeight="1" outlineLevel="1" x14ac:dyDescent="0.2">
      <c r="B58" s="24" t="s">
        <v>200</v>
      </c>
      <c r="C58" s="104">
        <f>'Finansallar - Yeni Segment'!C58/C$13</f>
        <v>-1.1939558900626961</v>
      </c>
      <c r="D58" s="104">
        <f>'Finansallar - Yeni Segment'!D58/D$13</f>
        <v>-2.4776010732608387</v>
      </c>
      <c r="E58" s="104">
        <f>'Finansallar - Yeni Segment'!E58/E$13</f>
        <v>-3.3457527959551636</v>
      </c>
      <c r="F58" s="104">
        <f>'Finansallar - Yeni Segment'!F58/F$13</f>
        <v>-6.3616535356952957</v>
      </c>
      <c r="G58" s="104">
        <f>'Finansallar - Yeni Segment'!G58/G$13</f>
        <v>-2.2186324595886449</v>
      </c>
      <c r="H58" s="104">
        <f>'Finansallar - Yeni Segment'!H58/H$13</f>
        <v>-6.0913236941145605</v>
      </c>
    </row>
    <row r="59" spans="2:8" ht="15" hidden="1" customHeight="1" outlineLevel="2" x14ac:dyDescent="0.2">
      <c r="B59" s="24"/>
      <c r="C59" s="104"/>
      <c r="D59" s="104"/>
      <c r="E59" s="104"/>
      <c r="F59" s="104"/>
      <c r="G59" s="104"/>
      <c r="H59" s="104"/>
    </row>
    <row r="60" spans="2:8" ht="15" hidden="1" customHeight="1" outlineLevel="2" x14ac:dyDescent="0.2">
      <c r="B60" s="24"/>
      <c r="C60" s="104"/>
      <c r="D60" s="104"/>
      <c r="E60" s="104"/>
      <c r="F60" s="104"/>
      <c r="G60" s="104"/>
      <c r="H60" s="104"/>
    </row>
    <row r="61" spans="2:8" ht="15" customHeight="1" outlineLevel="1" collapsed="1" x14ac:dyDescent="0.2">
      <c r="B61" s="43" t="s">
        <v>78</v>
      </c>
      <c r="C61" s="102">
        <f t="shared" ref="C61:G61" si="20">SUM(C56:C60)</f>
        <v>9.115359479471131</v>
      </c>
      <c r="D61" s="102">
        <f t="shared" si="20"/>
        <v>85.222506117991287</v>
      </c>
      <c r="E61" s="102">
        <f t="shared" si="20"/>
        <v>124.1636090832293</v>
      </c>
      <c r="F61" s="102">
        <f t="shared" si="20"/>
        <v>206.01424670114548</v>
      </c>
      <c r="G61" s="102">
        <f t="shared" si="20"/>
        <v>13.2301497620677</v>
      </c>
      <c r="H61" s="102">
        <f t="shared" ref="H61" si="21">SUM(H56:H60)</f>
        <v>53.342834656792022</v>
      </c>
    </row>
    <row r="62" spans="2:8" ht="15" customHeight="1" outlineLevel="1" x14ac:dyDescent="0.2">
      <c r="B62" s="42" t="s">
        <v>196</v>
      </c>
      <c r="C62" s="104">
        <f>'Finansallar - Yeni Segment'!C62/C$13</f>
        <v>-45.844171699834099</v>
      </c>
      <c r="D62" s="104">
        <f>'Finansallar - Yeni Segment'!D62/D$13</f>
        <v>-28.706693722907243</v>
      </c>
      <c r="E62" s="104">
        <f>'Finansallar - Yeni Segment'!E62/E$13</f>
        <v>-44.419437404647532</v>
      </c>
      <c r="F62" s="104">
        <f>'Finansallar - Yeni Segment'!F62/F$13</f>
        <v>4.5587631108318414</v>
      </c>
      <c r="G62" s="104">
        <f>'Finansallar - Yeni Segment'!G62/G$13</f>
        <v>-0.97459402967654984</v>
      </c>
      <c r="H62" s="104">
        <f>'Finansallar - Yeni Segment'!H62/H$13</f>
        <v>-3.8915234741547184</v>
      </c>
    </row>
    <row r="63" spans="2:8" ht="15" customHeight="1" outlineLevel="1" x14ac:dyDescent="0.2">
      <c r="B63" s="24" t="s">
        <v>241</v>
      </c>
      <c r="C63" s="104">
        <f>'Finansallar - Yeni Segment'!C63/C$13</f>
        <v>26.48348570484692</v>
      </c>
      <c r="D63" s="104">
        <f>'Finansallar - Yeni Segment'!D63/D$13</f>
        <v>60.034921426789722</v>
      </c>
      <c r="E63" s="104">
        <f>'Finansallar - Yeni Segment'!E63/E$13</f>
        <v>105.20293528009987</v>
      </c>
      <c r="F63" s="104">
        <f>'Finansallar - Yeni Segment'!F63/F$13</f>
        <v>163.02328532070177</v>
      </c>
      <c r="G63" s="104">
        <f>'Finansallar - Yeni Segment'!G63/G$13</f>
        <v>-20.220372521870139</v>
      </c>
      <c r="H63" s="104">
        <f>'Finansallar - Yeni Segment'!H63/H$13</f>
        <v>-29.344055534815205</v>
      </c>
    </row>
    <row r="64" spans="2:8" ht="15" customHeight="1" outlineLevel="1" x14ac:dyDescent="0.2">
      <c r="B64" s="24" t="s">
        <v>200</v>
      </c>
      <c r="C64" s="104">
        <f>'Finansallar - Yeni Segment'!C64/C$13</f>
        <v>26.474221325308992</v>
      </c>
      <c r="D64" s="104">
        <f>'Finansallar - Yeni Segment'!D64/D$13</f>
        <v>40.548091119305887</v>
      </c>
      <c r="E64" s="104">
        <f>'Finansallar - Yeni Segment'!E64/E$13</f>
        <v>52.363858733340898</v>
      </c>
      <c r="F64" s="104">
        <f>'Finansallar - Yeni Segment'!F64/F$13</f>
        <v>40.764778384648835</v>
      </c>
      <c r="G64" s="104">
        <f>'Finansallar - Yeni Segment'!G64/G$13</f>
        <v>1.3762407227624549</v>
      </c>
      <c r="H64" s="104">
        <f>'Finansallar - Yeni Segment'!H64/H$13</f>
        <v>37.562935757600222</v>
      </c>
    </row>
    <row r="65" spans="1:8" ht="15" hidden="1" customHeight="1" outlineLevel="2" x14ac:dyDescent="0.2">
      <c r="B65" s="24"/>
      <c r="C65" s="104"/>
      <c r="D65" s="104"/>
      <c r="E65" s="104"/>
      <c r="F65" s="104"/>
      <c r="G65" s="104"/>
      <c r="H65" s="104"/>
    </row>
    <row r="66" spans="1:8" ht="15" hidden="1" customHeight="1" outlineLevel="2" x14ac:dyDescent="0.2">
      <c r="B66" s="24"/>
      <c r="C66" s="104"/>
      <c r="D66" s="104"/>
      <c r="E66" s="104"/>
      <c r="F66" s="104"/>
      <c r="G66" s="104"/>
      <c r="H66" s="104"/>
    </row>
    <row r="67" spans="1:8" ht="15" customHeight="1" outlineLevel="1" collapsed="1" x14ac:dyDescent="0.2">
      <c r="A67" s="55" t="s">
        <v>164</v>
      </c>
      <c r="B67" s="43" t="s">
        <v>79</v>
      </c>
      <c r="C67" s="102">
        <f t="shared" ref="C67:G67" si="22">SUM(C62:C66)</f>
        <v>7.1135353303218132</v>
      </c>
      <c r="D67" s="102">
        <f t="shared" si="22"/>
        <v>71.87631882318837</v>
      </c>
      <c r="E67" s="102">
        <f t="shared" si="22"/>
        <v>113.14735660879323</v>
      </c>
      <c r="F67" s="102">
        <f t="shared" si="22"/>
        <v>208.34682681618244</v>
      </c>
      <c r="G67" s="102">
        <f t="shared" si="22"/>
        <v>-19.818725828784235</v>
      </c>
      <c r="H67" s="102">
        <f t="shared" ref="H67" si="23">SUM(H62:H66)</f>
        <v>4.3273567486303008</v>
      </c>
    </row>
    <row r="68" spans="1:8" ht="15" customHeight="1" x14ac:dyDescent="0.2">
      <c r="B68" s="52"/>
    </row>
    <row r="69" spans="1:8" ht="15" customHeight="1" x14ac:dyDescent="0.2">
      <c r="B69" s="52"/>
    </row>
    <row r="70" spans="1:8" ht="20.100000000000001" customHeight="1" outlineLevel="1" x14ac:dyDescent="0.2">
      <c r="B70" s="32" t="s">
        <v>218</v>
      </c>
      <c r="C70" s="33"/>
      <c r="D70" s="33"/>
      <c r="E70" s="33"/>
      <c r="F70" s="33"/>
      <c r="G70" s="33"/>
      <c r="H70" s="33"/>
    </row>
    <row r="71" spans="1:8" ht="15" customHeight="1" outlineLevel="1" x14ac:dyDescent="0.2">
      <c r="B71" s="42" t="s">
        <v>196</v>
      </c>
      <c r="C71" s="90">
        <f>IFERROR(C56/C50,"a.d.")</f>
        <v>-0.23185111622298116</v>
      </c>
      <c r="D71" s="90">
        <f>IFERROR(D56/D50,"a.d.")</f>
        <v>-3.0857044995491887E-2</v>
      </c>
      <c r="E71" s="90">
        <f>IFERROR(E56/E50,"a.d.")</f>
        <v>-4.38358734200762E-2</v>
      </c>
      <c r="F71" s="90">
        <f>IFERROR(F56/F50,"a.d.")</f>
        <v>6.0327367627790209E-2</v>
      </c>
      <c r="G71" s="90">
        <f>IFERROR(G56/G50,"a.d.")</f>
        <v>4.7264106513156122E-2</v>
      </c>
      <c r="H71" s="90">
        <f>IFERROR(H56/H50,"a.d.")</f>
        <v>5.0645358078014652E-2</v>
      </c>
    </row>
    <row r="72" spans="1:8" ht="15" customHeight="1" outlineLevel="1" x14ac:dyDescent="0.2">
      <c r="B72" s="24" t="s">
        <v>241</v>
      </c>
      <c r="C72" s="90">
        <f>IFERROR(C57/C51,"a.d.")</f>
        <v>0.18267518795941454</v>
      </c>
      <c r="D72" s="90">
        <f>IFERROR(D57/D51,"a.d.")</f>
        <v>0.18255113132602091</v>
      </c>
      <c r="E72" s="90">
        <f>IFERROR(E57/E51,"a.d.")</f>
        <v>0.17453028887266736</v>
      </c>
      <c r="F72" s="90">
        <f>IFERROR(F57/F51,"a.d.")</f>
        <v>0.14589849936395705</v>
      </c>
      <c r="G72" s="90">
        <f>IFERROR(G57/G51,"a.d.")</f>
        <v>2.4515503015056877E-2</v>
      </c>
      <c r="H72" s="90">
        <f>IFERROR(H57/H51,"a.d.")</f>
        <v>7.446989469137999E-2</v>
      </c>
    </row>
    <row r="73" spans="1:8" ht="15" customHeight="1" outlineLevel="1" x14ac:dyDescent="0.2">
      <c r="B73" s="24" t="s">
        <v>200</v>
      </c>
      <c r="C73" s="90">
        <f>IFERROR(C58/C52,"a.d.")</f>
        <v>-0.52829768978995206</v>
      </c>
      <c r="D73" s="90">
        <f>IFERROR(D58/D52,"a.d.")</f>
        <v>-0.55021409108602559</v>
      </c>
      <c r="E73" s="90">
        <f>IFERROR(E58/E52,"a.d.")</f>
        <v>-0.50328117591275479</v>
      </c>
      <c r="F73" s="90">
        <f>IFERROR(F58/F52,"a.d.")</f>
        <v>-0.70741457384340445</v>
      </c>
      <c r="G73" s="90">
        <f>IFERROR(G58/G52,"a.d.")</f>
        <v>-0.70988932645301461</v>
      </c>
      <c r="H73" s="90">
        <f>IFERROR(H58/H52,"a.d.")</f>
        <v>-1.0179235341230031</v>
      </c>
    </row>
    <row r="74" spans="1:8" ht="15" hidden="1" customHeight="1" outlineLevel="2" x14ac:dyDescent="0.2">
      <c r="B74" s="24"/>
      <c r="C74" s="90"/>
      <c r="D74" s="90"/>
      <c r="E74" s="90"/>
      <c r="F74" s="90"/>
      <c r="G74" s="90"/>
      <c r="H74" s="90"/>
    </row>
    <row r="75" spans="1:8" ht="15" hidden="1" customHeight="1" outlineLevel="2" x14ac:dyDescent="0.2">
      <c r="B75" s="24"/>
      <c r="C75" s="90"/>
      <c r="D75" s="90"/>
      <c r="E75" s="90"/>
      <c r="F75" s="90"/>
      <c r="G75" s="90"/>
      <c r="H75" s="90"/>
    </row>
    <row r="76" spans="1:8" ht="15" customHeight="1" outlineLevel="1" collapsed="1" x14ac:dyDescent="0.2">
      <c r="B76" s="43" t="s">
        <v>216</v>
      </c>
      <c r="C76" s="91">
        <f>IFERROR(C61/C55,"a.d.")</f>
        <v>2.3966988341384304E-2</v>
      </c>
      <c r="D76" s="91">
        <f>IFERROR(D61/D55,"a.d.")</f>
        <v>9.7277160466134008E-2</v>
      </c>
      <c r="E76" s="91">
        <f>IFERROR(E61/E55,"a.d.")</f>
        <v>9.2822023600498654E-2</v>
      </c>
      <c r="F76" s="91">
        <f>IFERROR(F61/F55,"a.d.")</f>
        <v>0.11118195834343599</v>
      </c>
      <c r="G76" s="91">
        <f>IFERROR(G61/G55,"a.d.")</f>
        <v>2.6949376836116552E-2</v>
      </c>
      <c r="H76" s="91">
        <f>IFERROR(H61/H55,"a.d.")</f>
        <v>5.8530783780896295E-2</v>
      </c>
    </row>
    <row r="77" spans="1:8" ht="15" customHeight="1" outlineLevel="1" x14ac:dyDescent="0.2">
      <c r="B77" s="42" t="s">
        <v>196</v>
      </c>
      <c r="C77" s="90">
        <f>IFERROR(C62/C50,"a.d.")</f>
        <v>-0.32344017592038993</v>
      </c>
      <c r="D77" s="90">
        <f>IFERROR(D62/D50,"a.d.")</f>
        <v>-8.5793150691831507E-2</v>
      </c>
      <c r="E77" s="90">
        <f>IFERROR(E62/E50,"a.d.")</f>
        <v>-9.2562134166815996E-2</v>
      </c>
      <c r="F77" s="90">
        <f>IFERROR(F62/F50,"a.d.")</f>
        <v>6.8856053041418397E-3</v>
      </c>
      <c r="G77" s="90">
        <f>IFERROR(G62/G50,"a.d.")</f>
        <v>-6.3524347830296521E-3</v>
      </c>
      <c r="H77" s="90">
        <f>IFERROR(H62/H50,"a.d.")</f>
        <v>-1.1604635716257576E-2</v>
      </c>
    </row>
    <row r="78" spans="1:8" ht="15" customHeight="1" outlineLevel="1" x14ac:dyDescent="0.2">
      <c r="B78" s="24" t="s">
        <v>241</v>
      </c>
      <c r="C78" s="90">
        <f>IFERROR(C63/C51,"a.d.")</f>
        <v>0.11206121911292211</v>
      </c>
      <c r="D78" s="90">
        <f>IFERROR(D63/D51,"a.d.")</f>
        <v>0.11180254606420677</v>
      </c>
      <c r="E78" s="90">
        <f>IFERROR(E63/E51,"a.d.")</f>
        <v>0.12360575486173378</v>
      </c>
      <c r="F78" s="90">
        <f>IFERROR(F63/F51,"a.d.")</f>
        <v>0.13793528454666118</v>
      </c>
      <c r="G78" s="90">
        <f>IFERROR(G63/G51,"a.d.")</f>
        <v>-6.0471214488519172E-2</v>
      </c>
      <c r="H78" s="90">
        <f>IFERROR(H63/H51,"a.d.")</f>
        <v>-5.1477409402637543E-2</v>
      </c>
    </row>
    <row r="79" spans="1:8" ht="15" customHeight="1" outlineLevel="1" x14ac:dyDescent="0.2">
      <c r="B79" s="24" t="s">
        <v>200</v>
      </c>
      <c r="C79" s="90">
        <f>IFERROR(C64/C52,"a.d.")</f>
        <v>11.714226699291366</v>
      </c>
      <c r="D79" s="90">
        <f>IFERROR(D64/D52,"a.d.")</f>
        <v>9.0047309638590285</v>
      </c>
      <c r="E79" s="90">
        <f>IFERROR(E64/E52,"a.d.")</f>
        <v>7.8767757230915114</v>
      </c>
      <c r="F79" s="90">
        <f>IFERROR(F64/F52,"a.d.")</f>
        <v>4.5330350304349576</v>
      </c>
      <c r="G79" s="90">
        <f>IFERROR(G64/G52,"a.d.")</f>
        <v>0.44035171102661597</v>
      </c>
      <c r="H79" s="90">
        <f>IFERROR(H64/H52,"a.d.")</f>
        <v>6.2771571892256466</v>
      </c>
    </row>
    <row r="80" spans="1:8" ht="15" hidden="1" customHeight="1" outlineLevel="2" x14ac:dyDescent="0.2">
      <c r="B80" s="24"/>
      <c r="C80" s="90"/>
      <c r="D80" s="90"/>
      <c r="E80" s="90"/>
      <c r="F80" s="90"/>
      <c r="G80" s="90"/>
      <c r="H80" s="90"/>
    </row>
    <row r="81" spans="1:8" ht="15" hidden="1" customHeight="1" outlineLevel="2" x14ac:dyDescent="0.2">
      <c r="B81" s="24"/>
      <c r="C81" s="90"/>
      <c r="D81" s="90"/>
      <c r="E81" s="90"/>
      <c r="F81" s="90"/>
      <c r="G81" s="90"/>
      <c r="H81" s="90"/>
    </row>
    <row r="82" spans="1:8" ht="15" customHeight="1" outlineLevel="1" collapsed="1" x14ac:dyDescent="0.2">
      <c r="A82" s="55" t="s">
        <v>164</v>
      </c>
      <c r="B82" s="43" t="s">
        <v>217</v>
      </c>
      <c r="C82" s="91">
        <f>IFERROR(C67/C55,"a.d.")</f>
        <v>1.8703597890111952E-2</v>
      </c>
      <c r="D82" s="91">
        <f>IFERROR(D67/D55,"a.d.")</f>
        <v>8.2043165806435281E-2</v>
      </c>
      <c r="E82" s="91">
        <f>IFERROR(E67/E55,"a.d.")</f>
        <v>8.4586511966121783E-2</v>
      </c>
      <c r="F82" s="91">
        <f>IFERROR(F67/F55,"a.d.")</f>
        <v>0.11244080732759862</v>
      </c>
      <c r="G82" s="91">
        <f>IFERROR(G67/G55,"a.d.")</f>
        <v>-4.0370088047144634E-2</v>
      </c>
      <c r="H82" s="91">
        <f>IFERROR(H67/H55,"a.d.")</f>
        <v>4.7482212714511701E-3</v>
      </c>
    </row>
    <row r="83" spans="1:8" ht="15" customHeight="1" x14ac:dyDescent="0.2">
      <c r="B83" s="52"/>
    </row>
    <row r="84" spans="1:8" ht="15" customHeight="1" x14ac:dyDescent="0.2">
      <c r="B84" s="52"/>
    </row>
    <row r="85" spans="1:8" ht="20.100000000000001" customHeight="1" outlineLevel="1" x14ac:dyDescent="0.2">
      <c r="B85" s="32" t="s">
        <v>152</v>
      </c>
      <c r="C85" s="33"/>
      <c r="D85" s="33"/>
      <c r="E85" s="33"/>
      <c r="F85" s="33"/>
      <c r="G85" s="33"/>
      <c r="H85" s="33"/>
    </row>
    <row r="86" spans="1:8" outlineLevel="1" x14ac:dyDescent="0.2">
      <c r="B86" s="34" t="s">
        <v>244</v>
      </c>
      <c r="C86" s="35" t="s">
        <v>225</v>
      </c>
      <c r="D86" s="35" t="s">
        <v>227</v>
      </c>
      <c r="E86" s="35" t="s">
        <v>228</v>
      </c>
      <c r="F86" s="35" t="s">
        <v>236</v>
      </c>
      <c r="G86" s="35" t="s">
        <v>237</v>
      </c>
      <c r="H86" s="35" t="s">
        <v>240</v>
      </c>
    </row>
    <row r="87" spans="1:8" ht="15" customHeight="1" outlineLevel="1" x14ac:dyDescent="0.2">
      <c r="B87" s="42" t="s">
        <v>196</v>
      </c>
      <c r="C87" s="124">
        <f>C50</f>
        <v>141.73926157867899</v>
      </c>
      <c r="D87" s="103">
        <f>D50-C50</f>
        <v>192.86429932819945</v>
      </c>
      <c r="E87" s="103">
        <f>E50-D50</f>
        <v>145.28422262882282</v>
      </c>
      <c r="F87" s="103">
        <f>F50-E50</f>
        <v>182.1837278954938</v>
      </c>
      <c r="G87" s="124">
        <f>G50</f>
        <v>153.42054865012545</v>
      </c>
      <c r="H87" s="103">
        <f>H50-G50</f>
        <v>181.92159989339734</v>
      </c>
    </row>
    <row r="88" spans="1:8" ht="15" customHeight="1" outlineLevel="1" x14ac:dyDescent="0.2">
      <c r="B88" s="24" t="s">
        <v>241</v>
      </c>
      <c r="C88" s="130">
        <f t="shared" ref="C88:C89" si="24">C51</f>
        <v>236.33051571712761</v>
      </c>
      <c r="D88" s="104">
        <f t="shared" ref="D88:H89" si="25">D51-C51</f>
        <v>300.64224152502356</v>
      </c>
      <c r="E88" s="104">
        <f t="shared" si="25"/>
        <v>314.14404874945149</v>
      </c>
      <c r="F88" s="104">
        <f t="shared" si="25"/>
        <v>330.7655952844375</v>
      </c>
      <c r="G88" s="130">
        <f t="shared" ref="G88:H89" si="26">G51</f>
        <v>334.38012933755613</v>
      </c>
      <c r="H88" s="104">
        <f t="shared" si="25"/>
        <v>235.65740509423108</v>
      </c>
    </row>
    <row r="89" spans="1:8" ht="15" customHeight="1" outlineLevel="1" x14ac:dyDescent="0.2">
      <c r="B89" s="24" t="s">
        <v>200</v>
      </c>
      <c r="C89" s="131">
        <f t="shared" si="24"/>
        <v>2.2600058889854426</v>
      </c>
      <c r="D89" s="105">
        <f t="shared" si="25"/>
        <v>2.242970522197504</v>
      </c>
      <c r="E89" s="105">
        <f t="shared" si="25"/>
        <v>2.1449034541572969</v>
      </c>
      <c r="F89" s="105">
        <f t="shared" si="25"/>
        <v>2.3449424073650569</v>
      </c>
      <c r="G89" s="131">
        <f t="shared" si="26"/>
        <v>3.1253216197433407</v>
      </c>
      <c r="H89" s="105">
        <f t="shared" si="25"/>
        <v>2.8587464265491249</v>
      </c>
    </row>
    <row r="90" spans="1:8" ht="15" hidden="1" customHeight="1" outlineLevel="2" x14ac:dyDescent="0.2">
      <c r="B90" s="24"/>
      <c r="C90" s="105"/>
      <c r="D90" s="105"/>
      <c r="E90" s="105"/>
      <c r="F90" s="105"/>
      <c r="G90" s="105"/>
      <c r="H90" s="105"/>
    </row>
    <row r="91" spans="1:8" ht="15" hidden="1" customHeight="1" outlineLevel="2" x14ac:dyDescent="0.2">
      <c r="B91" s="24"/>
      <c r="C91" s="105"/>
      <c r="D91" s="105"/>
      <c r="E91" s="105"/>
      <c r="F91" s="105"/>
      <c r="G91" s="105"/>
      <c r="H91" s="105"/>
    </row>
    <row r="92" spans="1:8" ht="15" customHeight="1" outlineLevel="1" collapsed="1" x14ac:dyDescent="0.2">
      <c r="B92" s="43" t="s">
        <v>77</v>
      </c>
      <c r="C92" s="102">
        <f>+C55</f>
        <v>380.32978318479206</v>
      </c>
      <c r="D92" s="102">
        <f>+D55-C55</f>
        <v>495.74951137542052</v>
      </c>
      <c r="E92" s="102">
        <f>+E55-D55</f>
        <v>461.57317483243139</v>
      </c>
      <c r="F92" s="102">
        <f>+F55-E55</f>
        <v>515.29426558729665</v>
      </c>
      <c r="G92" s="102">
        <f>+G55</f>
        <v>490.9259996074249</v>
      </c>
      <c r="H92" s="102">
        <f>+H55-G55</f>
        <v>420.43775141417763</v>
      </c>
    </row>
    <row r="93" spans="1:8" ht="15" customHeight="1" outlineLevel="1" x14ac:dyDescent="0.2">
      <c r="B93" s="42" t="s">
        <v>196</v>
      </c>
      <c r="C93" s="124">
        <f>C56</f>
        <v>-32.86240600963783</v>
      </c>
      <c r="D93" s="103">
        <f>D56-C56</f>
        <v>22.537528875082472</v>
      </c>
      <c r="E93" s="103">
        <f>E56-D56</f>
        <v>-10.711423000356572</v>
      </c>
      <c r="F93" s="103">
        <f>F56-E56</f>
        <v>60.977331600908343</v>
      </c>
      <c r="G93" s="124">
        <f>G56</f>
        <v>7.2512851527063802</v>
      </c>
      <c r="H93" s="103">
        <f>H56-G56</f>
        <v>9.7322380389311114</v>
      </c>
    </row>
    <row r="94" spans="1:8" ht="15" customHeight="1" outlineLevel="1" x14ac:dyDescent="0.2">
      <c r="B94" s="24" t="s">
        <v>241</v>
      </c>
      <c r="C94" s="130">
        <f t="shared" ref="C94:C95" si="27">C57</f>
        <v>43.171721379171657</v>
      </c>
      <c r="D94" s="104">
        <f t="shared" ref="D94:H95" si="28">D57-C57</f>
        <v>54.853262946635823</v>
      </c>
      <c r="E94" s="104">
        <f t="shared" si="28"/>
        <v>50.520677688288913</v>
      </c>
      <c r="F94" s="104">
        <f t="shared" si="28"/>
        <v>23.889206756747967</v>
      </c>
      <c r="G94" s="130">
        <f t="shared" ref="G94:H95" si="29">G57</f>
        <v>8.197497068949966</v>
      </c>
      <c r="H94" s="104">
        <f t="shared" si="28"/>
        <v>34.253138090319126</v>
      </c>
    </row>
    <row r="95" spans="1:8" ht="15" customHeight="1" outlineLevel="1" x14ac:dyDescent="0.2">
      <c r="B95" s="24" t="s">
        <v>200</v>
      </c>
      <c r="C95" s="131">
        <f t="shared" si="27"/>
        <v>-1.1939558900626961</v>
      </c>
      <c r="D95" s="105">
        <f t="shared" si="28"/>
        <v>-1.2836451831981426</v>
      </c>
      <c r="E95" s="105">
        <f t="shared" si="28"/>
        <v>-0.86815172269432495</v>
      </c>
      <c r="F95" s="105">
        <f t="shared" si="28"/>
        <v>-3.0159007397401321</v>
      </c>
      <c r="G95" s="131">
        <f t="shared" si="29"/>
        <v>-2.2186324595886449</v>
      </c>
      <c r="H95" s="105">
        <f t="shared" si="28"/>
        <v>-3.8726912345259157</v>
      </c>
    </row>
    <row r="96" spans="1:8" ht="15" hidden="1" customHeight="1" outlineLevel="2" x14ac:dyDescent="0.2">
      <c r="B96" s="24"/>
      <c r="C96" s="105"/>
      <c r="D96" s="105"/>
      <c r="E96" s="105"/>
      <c r="F96" s="105"/>
      <c r="G96" s="105"/>
      <c r="H96" s="105"/>
    </row>
    <row r="97" spans="1:8" ht="15" hidden="1" customHeight="1" outlineLevel="2" x14ac:dyDescent="0.2">
      <c r="B97" s="24"/>
      <c r="C97" s="105"/>
      <c r="D97" s="105"/>
      <c r="E97" s="105"/>
      <c r="F97" s="105"/>
      <c r="G97" s="105"/>
      <c r="H97" s="105"/>
    </row>
    <row r="98" spans="1:8" ht="15" customHeight="1" outlineLevel="1" collapsed="1" x14ac:dyDescent="0.2">
      <c r="B98" s="43" t="s">
        <v>78</v>
      </c>
      <c r="C98" s="102">
        <f>+C61</f>
        <v>9.115359479471131</v>
      </c>
      <c r="D98" s="102">
        <f>+D61-C61</f>
        <v>76.107146638520163</v>
      </c>
      <c r="E98" s="102">
        <f>+E61-D61</f>
        <v>38.941102965238017</v>
      </c>
      <c r="F98" s="102">
        <f>+F61-E61</f>
        <v>81.850637617916178</v>
      </c>
      <c r="G98" s="102">
        <f>+G61</f>
        <v>13.2301497620677</v>
      </c>
      <c r="H98" s="102">
        <f>+H61-G61</f>
        <v>40.112684894724325</v>
      </c>
    </row>
    <row r="99" spans="1:8" ht="15" customHeight="1" outlineLevel="1" x14ac:dyDescent="0.2">
      <c r="B99" s="42" t="s">
        <v>196</v>
      </c>
      <c r="C99" s="124">
        <f>C62</f>
        <v>-45.844171699834099</v>
      </c>
      <c r="D99" s="103">
        <f>D62-C62</f>
        <v>17.137477976926856</v>
      </c>
      <c r="E99" s="103">
        <f>E62-D62</f>
        <v>-15.712743681740289</v>
      </c>
      <c r="F99" s="103">
        <f>F62-E62</f>
        <v>48.978200515479372</v>
      </c>
      <c r="G99" s="124">
        <f>G62</f>
        <v>-0.97459402967654984</v>
      </c>
      <c r="H99" s="103">
        <f>H62-G62</f>
        <v>-2.9169294444781686</v>
      </c>
    </row>
    <row r="100" spans="1:8" ht="15" customHeight="1" outlineLevel="1" x14ac:dyDescent="0.2">
      <c r="B100" s="24" t="s">
        <v>241</v>
      </c>
      <c r="C100" s="130">
        <f t="shared" ref="C100:C101" si="30">C63</f>
        <v>26.48348570484692</v>
      </c>
      <c r="D100" s="104">
        <f t="shared" ref="D100:H101" si="31">D63-C63</f>
        <v>33.551435721942802</v>
      </c>
      <c r="E100" s="104">
        <f t="shared" si="31"/>
        <v>45.168013853310143</v>
      </c>
      <c r="F100" s="104">
        <f t="shared" si="31"/>
        <v>57.820350040601909</v>
      </c>
      <c r="G100" s="130">
        <f t="shared" ref="G100:H101" si="32">G63</f>
        <v>-20.220372521870139</v>
      </c>
      <c r="H100" s="104">
        <f t="shared" si="31"/>
        <v>-9.1236830129450652</v>
      </c>
    </row>
    <row r="101" spans="1:8" ht="15" customHeight="1" outlineLevel="1" x14ac:dyDescent="0.2">
      <c r="B101" s="24" t="s">
        <v>200</v>
      </c>
      <c r="C101" s="131">
        <f t="shared" si="30"/>
        <v>26.474221325308992</v>
      </c>
      <c r="D101" s="105">
        <f t="shared" si="31"/>
        <v>14.073869793996895</v>
      </c>
      <c r="E101" s="105">
        <f t="shared" si="31"/>
        <v>11.815767614035011</v>
      </c>
      <c r="F101" s="105">
        <f t="shared" si="31"/>
        <v>-11.599080348692063</v>
      </c>
      <c r="G101" s="131">
        <f t="shared" si="32"/>
        <v>1.3762407227624549</v>
      </c>
      <c r="H101" s="105">
        <f t="shared" si="31"/>
        <v>36.186695034837769</v>
      </c>
    </row>
    <row r="102" spans="1:8" ht="15" hidden="1" customHeight="1" outlineLevel="2" x14ac:dyDescent="0.2">
      <c r="B102" s="24"/>
      <c r="C102" s="105"/>
      <c r="D102" s="105"/>
      <c r="E102" s="105"/>
      <c r="F102" s="105"/>
      <c r="G102" s="105"/>
      <c r="H102" s="105"/>
    </row>
    <row r="103" spans="1:8" ht="15" hidden="1" customHeight="1" outlineLevel="2" x14ac:dyDescent="0.2">
      <c r="B103" s="24"/>
      <c r="C103" s="105"/>
      <c r="D103" s="105"/>
      <c r="E103" s="105"/>
      <c r="F103" s="105"/>
      <c r="G103" s="105"/>
      <c r="H103" s="105"/>
    </row>
    <row r="104" spans="1:8" ht="15" customHeight="1" outlineLevel="1" collapsed="1" x14ac:dyDescent="0.2">
      <c r="A104" s="55" t="s">
        <v>164</v>
      </c>
      <c r="B104" s="43" t="s">
        <v>79</v>
      </c>
      <c r="C104" s="102">
        <f>+C67</f>
        <v>7.1135353303218132</v>
      </c>
      <c r="D104" s="102">
        <f>+D67-C67</f>
        <v>64.762783492866561</v>
      </c>
      <c r="E104" s="102">
        <f>+E67-D67</f>
        <v>41.271037785604861</v>
      </c>
      <c r="F104" s="102">
        <f>+F67-E67</f>
        <v>95.199470207389211</v>
      </c>
      <c r="G104" s="102">
        <f>+G67</f>
        <v>-19.818725828784235</v>
      </c>
      <c r="H104" s="102">
        <f>+H67-G67</f>
        <v>24.146082577414536</v>
      </c>
    </row>
    <row r="107" spans="1:8" ht="20.100000000000001" customHeight="1" outlineLevel="1" x14ac:dyDescent="0.2">
      <c r="B107" s="32" t="s">
        <v>215</v>
      </c>
      <c r="C107" s="33"/>
      <c r="D107" s="33"/>
      <c r="E107" s="33"/>
      <c r="F107" s="33"/>
      <c r="G107" s="33"/>
      <c r="H107" s="33"/>
    </row>
    <row r="108" spans="1:8" ht="15" customHeight="1" outlineLevel="1" x14ac:dyDescent="0.2">
      <c r="B108" s="42" t="s">
        <v>196</v>
      </c>
      <c r="C108" s="90">
        <f>IFERROR(C93/C87,"a.d.")</f>
        <v>-0.23185111622298116</v>
      </c>
      <c r="D108" s="90">
        <f>IFERROR(D93/D87,"a.d.")</f>
        <v>0.11685692455051049</v>
      </c>
      <c r="E108" s="90">
        <f>IFERROR(E93/E87,"a.d.")</f>
        <v>-7.3727365618512397E-2</v>
      </c>
      <c r="F108" s="90">
        <f>IFERROR(F93/F87,"a.d.")</f>
        <v>0.33470240347637864</v>
      </c>
      <c r="G108" s="90">
        <f>IFERROR(G93/G87,"a.d.")</f>
        <v>4.7264106513156122E-2</v>
      </c>
      <c r="H108" s="90">
        <f>IFERROR(H93/H87,"a.d.")</f>
        <v>5.3496880220017973E-2</v>
      </c>
    </row>
    <row r="109" spans="1:8" ht="15" customHeight="1" outlineLevel="1" x14ac:dyDescent="0.2">
      <c r="B109" s="24" t="s">
        <v>241</v>
      </c>
      <c r="C109" s="90">
        <f>IFERROR(C94/C88,"a.d.")</f>
        <v>0.18267518795941454</v>
      </c>
      <c r="D109" s="90">
        <f>IFERROR(D94/D88,"a.d.")</f>
        <v>0.18245361220163131</v>
      </c>
      <c r="E109" s="90">
        <f>IFERROR(E94/E88,"a.d.")</f>
        <v>0.16082010112686282</v>
      </c>
      <c r="F109" s="90">
        <f>IFERROR(F94/F88,"a.d.")</f>
        <v>7.2223977031845646E-2</v>
      </c>
      <c r="G109" s="90">
        <f>IFERROR(G94/G88,"a.d.")</f>
        <v>2.4515503015056877E-2</v>
      </c>
      <c r="H109" s="90">
        <f>IFERROR(H94/H88,"a.d.")</f>
        <v>0.145351418414467</v>
      </c>
    </row>
    <row r="110" spans="1:8" ht="15" customHeight="1" outlineLevel="1" x14ac:dyDescent="0.2">
      <c r="B110" s="24" t="s">
        <v>200</v>
      </c>
      <c r="C110" s="90">
        <f>IFERROR(C95/C89,"a.d.")</f>
        <v>-0.52829768978995206</v>
      </c>
      <c r="D110" s="90">
        <f>IFERROR(D95/D89,"a.d.")</f>
        <v>-0.57229694750536342</v>
      </c>
      <c r="E110" s="90">
        <f>IFERROR(E95/E89,"a.d.")</f>
        <v>-0.40475095557874879</v>
      </c>
      <c r="F110" s="90">
        <f>IFERROR(F95/F89,"a.d.")</f>
        <v>-1.2861299835201545</v>
      </c>
      <c r="G110" s="90">
        <f>IFERROR(G95/G89,"a.d.")</f>
        <v>-0.70988932645301461</v>
      </c>
      <c r="H110" s="90">
        <f>IFERROR(H95/H89,"a.d.")</f>
        <v>-1.3546816179848287</v>
      </c>
    </row>
    <row r="111" spans="1:8" ht="15" hidden="1" customHeight="1" outlineLevel="2" x14ac:dyDescent="0.2">
      <c r="B111" s="24"/>
      <c r="C111" s="90"/>
      <c r="D111" s="90"/>
      <c r="E111" s="90"/>
      <c r="F111" s="90"/>
      <c r="G111" s="90"/>
      <c r="H111" s="90"/>
    </row>
    <row r="112" spans="1:8" ht="15" hidden="1" customHeight="1" outlineLevel="2" x14ac:dyDescent="0.2">
      <c r="B112" s="24"/>
      <c r="C112" s="90"/>
      <c r="D112" s="90"/>
      <c r="E112" s="90"/>
      <c r="F112" s="90"/>
      <c r="G112" s="90"/>
      <c r="H112" s="90"/>
    </row>
    <row r="113" spans="1:8" ht="15" customHeight="1" outlineLevel="1" collapsed="1" x14ac:dyDescent="0.2">
      <c r="B113" s="43" t="s">
        <v>216</v>
      </c>
      <c r="C113" s="91">
        <f>IFERROR(C98/C92,"a.d.")</f>
        <v>2.3966988341384304E-2</v>
      </c>
      <c r="D113" s="91">
        <f>IFERROR(D98/D92,"a.d.")</f>
        <v>0.15351935784538948</v>
      </c>
      <c r="E113" s="91">
        <f>IFERROR(E98/E92,"a.d.")</f>
        <v>8.4366044407531079E-2</v>
      </c>
      <c r="F113" s="91">
        <f>IFERROR(F98/F92,"a.d.")</f>
        <v>0.15884251598381072</v>
      </c>
      <c r="G113" s="91">
        <f>IFERROR(G98/G92,"a.d.")</f>
        <v>2.6949376836116552E-2</v>
      </c>
      <c r="H113" s="91">
        <f>IFERROR(H98/H92,"a.d.")</f>
        <v>9.5406953252418339E-2</v>
      </c>
    </row>
    <row r="114" spans="1:8" ht="15" customHeight="1" outlineLevel="1" x14ac:dyDescent="0.2">
      <c r="B114" s="42" t="s">
        <v>196</v>
      </c>
      <c r="C114" s="90">
        <f>IFERROR(C99/C87,"a.d.")</f>
        <v>-0.32344017592038993</v>
      </c>
      <c r="D114" s="90">
        <f>IFERROR(D99/D87,"a.d.")</f>
        <v>8.8857699618962699E-2</v>
      </c>
      <c r="E114" s="90">
        <f>IFERROR(E99/E87,"a.d.")</f>
        <v>-0.10815175521077573</v>
      </c>
      <c r="F114" s="90">
        <f>IFERROR(F99/F87,"a.d.")</f>
        <v>0.26883959989870654</v>
      </c>
      <c r="G114" s="90">
        <f>IFERROR(G99/G87,"a.d.")</f>
        <v>-6.3524347830296521E-3</v>
      </c>
      <c r="H114" s="90">
        <f>IFERROR(H99/H87,"a.d.")</f>
        <v>-1.6033991819483968E-2</v>
      </c>
    </row>
    <row r="115" spans="1:8" ht="15" customHeight="1" outlineLevel="1" x14ac:dyDescent="0.2">
      <c r="B115" s="24" t="s">
        <v>241</v>
      </c>
      <c r="C115" s="90">
        <f>IFERROR(C100/C88,"a.d.")</f>
        <v>0.11206121911292211</v>
      </c>
      <c r="D115" s="90">
        <f>IFERROR(D100/D88,"a.d.")</f>
        <v>0.11159920692365578</v>
      </c>
      <c r="E115" s="90">
        <f>IFERROR(E100/E88,"a.d.")</f>
        <v>0.14378121767105101</v>
      </c>
      <c r="F115" s="90">
        <f>IFERROR(F100/F88,"a.d.")</f>
        <v>0.17480763073583896</v>
      </c>
      <c r="G115" s="90">
        <f>IFERROR(G100/G88,"a.d.")</f>
        <v>-6.0471214488519172E-2</v>
      </c>
      <c r="H115" s="90">
        <f>IFERROR(H100/H88,"a.d.")</f>
        <v>-3.8715876589139331E-2</v>
      </c>
    </row>
    <row r="116" spans="1:8" ht="15" customHeight="1" outlineLevel="1" x14ac:dyDescent="0.2">
      <c r="B116" s="24" t="s">
        <v>200</v>
      </c>
      <c r="C116" s="90">
        <f>IFERROR(C101/C89,"a.d.")</f>
        <v>11.714226699291366</v>
      </c>
      <c r="D116" s="90">
        <f>IFERROR(D101/D89,"a.d.")</f>
        <v>6.274656601464522</v>
      </c>
      <c r="E116" s="90">
        <f>IFERROR(E101/E89,"a.d.")</f>
        <v>5.5087643181017967</v>
      </c>
      <c r="F116" s="90">
        <f>IFERROR(F101/F89,"a.d.")</f>
        <v>-4.9464244035424345</v>
      </c>
      <c r="G116" s="90">
        <f>IFERROR(G101/G89,"a.d.")</f>
        <v>0.44035171102661597</v>
      </c>
      <c r="H116" s="90">
        <f>IFERROR(H101/H89,"a.d.")</f>
        <v>12.658238834606877</v>
      </c>
    </row>
    <row r="117" spans="1:8" ht="15" hidden="1" customHeight="1" outlineLevel="2" x14ac:dyDescent="0.2">
      <c r="B117" s="24"/>
      <c r="C117" s="90"/>
      <c r="D117" s="90"/>
      <c r="E117" s="90"/>
      <c r="F117" s="90"/>
      <c r="G117" s="90"/>
      <c r="H117" s="90"/>
    </row>
    <row r="118" spans="1:8" ht="15" hidden="1" customHeight="1" outlineLevel="2" x14ac:dyDescent="0.2">
      <c r="B118" s="24"/>
      <c r="C118" s="90"/>
      <c r="D118" s="90"/>
      <c r="E118" s="90"/>
      <c r="F118" s="90"/>
      <c r="G118" s="90"/>
      <c r="H118" s="90"/>
    </row>
    <row r="119" spans="1:8" ht="15" customHeight="1" outlineLevel="1" collapsed="1" x14ac:dyDescent="0.2">
      <c r="A119" s="55" t="s">
        <v>164</v>
      </c>
      <c r="B119" s="43" t="s">
        <v>217</v>
      </c>
      <c r="C119" s="91">
        <f>IFERROR(C104/C92,"a.d.")</f>
        <v>1.8703597890111952E-2</v>
      </c>
      <c r="D119" s="91">
        <f>IFERROR(D104/D92,"a.d.")</f>
        <v>0.13063610151261065</v>
      </c>
      <c r="E119" s="91">
        <f>IFERROR(E104/E92,"a.d.")</f>
        <v>8.9413856861564403E-2</v>
      </c>
      <c r="F119" s="91">
        <f>IFERROR(F104/F92,"a.d.")</f>
        <v>0.18474777727030878</v>
      </c>
      <c r="G119" s="91">
        <f>IFERROR(G104/G92,"a.d.")</f>
        <v>-4.0370088047144634E-2</v>
      </c>
      <c r="H119" s="91">
        <f>IFERROR(H104/H92,"a.d.")</f>
        <v>5.7430814659713982E-2</v>
      </c>
    </row>
    <row r="122" spans="1:8" ht="20.100000000000001" customHeight="1" outlineLevel="1" x14ac:dyDescent="0.2">
      <c r="B122" s="32" t="s">
        <v>160</v>
      </c>
      <c r="C122" s="33"/>
      <c r="D122" s="33"/>
      <c r="E122" s="33"/>
      <c r="F122" s="33"/>
      <c r="G122" s="33"/>
      <c r="H122" s="33"/>
    </row>
    <row r="123" spans="1:8" ht="15" customHeight="1" outlineLevel="1" x14ac:dyDescent="0.2">
      <c r="B123" s="34" t="s">
        <v>244</v>
      </c>
      <c r="C123" s="35" t="s">
        <v>233</v>
      </c>
      <c r="D123" s="35" t="s">
        <v>234</v>
      </c>
      <c r="E123" s="35" t="s">
        <v>235</v>
      </c>
      <c r="F123" s="35">
        <v>2022</v>
      </c>
      <c r="G123" s="35" t="s">
        <v>238</v>
      </c>
      <c r="H123" s="35" t="s">
        <v>239</v>
      </c>
    </row>
    <row r="124" spans="1:8" ht="15" customHeight="1" outlineLevel="1" x14ac:dyDescent="0.2">
      <c r="B124" s="42" t="s">
        <v>196</v>
      </c>
      <c r="C124" s="104">
        <f>'Finansallar - Yeni Segment'!C182/C$13</f>
        <v>1.1321933598098284</v>
      </c>
      <c r="D124" s="104">
        <f>'Finansallar - Yeni Segment'!D182/D$13</f>
        <v>4.5651338542333804</v>
      </c>
      <c r="E124" s="104">
        <f>'Finansallar - Yeni Segment'!E182/E$13</f>
        <v>5.8742166912534204</v>
      </c>
      <c r="F124" s="104">
        <f>'Finansallar - Yeni Segment'!F182/F$13</f>
        <v>11.656012857073803</v>
      </c>
      <c r="G124" s="104">
        <f>'Finansallar - Yeni Segment'!G182/G$13</f>
        <v>8.8455111167698508</v>
      </c>
      <c r="H124" s="104">
        <f>'Finansallar - Yeni Segment'!H182/H$13</f>
        <v>15.223239060024822</v>
      </c>
    </row>
    <row r="125" spans="1:8" ht="15" customHeight="1" outlineLevel="1" x14ac:dyDescent="0.2">
      <c r="B125" s="24" t="s">
        <v>241</v>
      </c>
      <c r="C125" s="104">
        <f>'Finansallar - Yeni Segment'!C183/C$13</f>
        <v>11.091257729293392</v>
      </c>
      <c r="D125" s="104">
        <f>'Finansallar - Yeni Segment'!D183/D$13</f>
        <v>21.944408863840142</v>
      </c>
      <c r="E125" s="104">
        <f>'Finansallar - Yeni Segment'!E183/E$13</f>
        <v>28.677926138871026</v>
      </c>
      <c r="F125" s="104">
        <f>'Finansallar - Yeni Segment'!F183/F$13</f>
        <v>41.438143457876151</v>
      </c>
      <c r="G125" s="104">
        <f>'Finansallar - Yeni Segment'!G183/G$13</f>
        <v>4.9808221794280074</v>
      </c>
      <c r="H125" s="104">
        <f>'Finansallar - Yeni Segment'!H183/H$13</f>
        <v>11.576950630114318</v>
      </c>
    </row>
    <row r="126" spans="1:8" ht="15" customHeight="1" outlineLevel="1" x14ac:dyDescent="0.2">
      <c r="B126" s="24" t="s">
        <v>200</v>
      </c>
      <c r="C126" s="104">
        <f>'Finansallar - Yeni Segment'!C184/C$13</f>
        <v>4.8117320080722184E-2</v>
      </c>
      <c r="D126" s="104">
        <f>'Finansallar - Yeni Segment'!D184/D$13</f>
        <v>0.18849480560630472</v>
      </c>
      <c r="E126" s="104">
        <f>'Finansallar - Yeni Segment'!E184/E$13</f>
        <v>0.99670915762000234</v>
      </c>
      <c r="F126" s="104">
        <f>'Finansallar - Yeni Segment'!F184/F$13</f>
        <v>1.6141427811880706</v>
      </c>
      <c r="G126" s="104">
        <f>'Finansallar - Yeni Segment'!G184/G$13</f>
        <v>1.2042504204266257E-2</v>
      </c>
      <c r="H126" s="104">
        <f>'Finansallar - Yeni Segment'!H184/H$13</f>
        <v>0.43956653785226363</v>
      </c>
    </row>
    <row r="127" spans="1:8" ht="15" hidden="1" customHeight="1" outlineLevel="2" x14ac:dyDescent="0.2">
      <c r="B127" s="24"/>
      <c r="C127" s="104"/>
      <c r="D127" s="104"/>
      <c r="E127" s="104"/>
      <c r="F127" s="104"/>
      <c r="G127" s="104"/>
      <c r="H127" s="104"/>
    </row>
    <row r="128" spans="1:8" ht="15" hidden="1" customHeight="1" outlineLevel="2" x14ac:dyDescent="0.2">
      <c r="B128" s="24"/>
      <c r="C128" s="104"/>
      <c r="D128" s="104"/>
      <c r="E128" s="104"/>
      <c r="F128" s="104"/>
      <c r="G128" s="104"/>
      <c r="H128" s="104"/>
    </row>
    <row r="129" spans="1:8" ht="15" customHeight="1" outlineLevel="1" collapsed="1" x14ac:dyDescent="0.2">
      <c r="B129" s="43" t="s">
        <v>161</v>
      </c>
      <c r="C129" s="102">
        <f>'Finansallar - Yeni Segment'!C187/C$13</f>
        <v>12.271568409183942</v>
      </c>
      <c r="D129" s="102">
        <f>'Finansallar - Yeni Segment'!D187/D$13</f>
        <v>26.69803752367983</v>
      </c>
      <c r="E129" s="102">
        <f>'Finansallar - Yeni Segment'!E187/E$13</f>
        <v>35.548851987744442</v>
      </c>
      <c r="F129" s="102">
        <f>'Finansallar - Yeni Segment'!F187/F$13</f>
        <v>54.708299096138028</v>
      </c>
      <c r="G129" s="102">
        <f>'Finansallar - Yeni Segment'!G187/G$13</f>
        <v>13.838375800402122</v>
      </c>
      <c r="H129" s="102">
        <f>'Finansallar - Yeni Segment'!H187/H$13</f>
        <v>27.239756227991407</v>
      </c>
    </row>
    <row r="130" spans="1:8" ht="15" customHeight="1" outlineLevel="1" x14ac:dyDescent="0.2">
      <c r="B130" s="42" t="s">
        <v>196</v>
      </c>
      <c r="C130" s="104">
        <f>'Finansallar - Yeni Segment'!C188/C$13</f>
        <v>6.5638488110712938</v>
      </c>
      <c r="D130" s="104">
        <f>'Finansallar - Yeni Segment'!D188/D$13</f>
        <v>13.312007442713355</v>
      </c>
      <c r="E130" s="104">
        <f>'Finansallar - Yeni Segment'!E188/E$13</f>
        <v>19.943198295318432</v>
      </c>
      <c r="F130" s="104">
        <f>'Finansallar - Yeni Segment'!F188/F$13</f>
        <v>26.999552902508572</v>
      </c>
      <c r="G130" s="104">
        <f>'Finansallar - Yeni Segment'!G188/G$13</f>
        <v>4.6178494315619707</v>
      </c>
      <c r="H130" s="104">
        <f>'Finansallar - Yeni Segment'!H188/H$13</f>
        <v>12.907001382316439</v>
      </c>
    </row>
    <row r="131" spans="1:8" ht="15" customHeight="1" outlineLevel="1" x14ac:dyDescent="0.2">
      <c r="B131" s="24" t="s">
        <v>241</v>
      </c>
      <c r="C131" s="104">
        <f>'Finansallar - Yeni Segment'!C189/C$13</f>
        <v>1.9718765036662524</v>
      </c>
      <c r="D131" s="104">
        <f>'Finansallar - Yeni Segment'!D189/D$13</f>
        <v>4.5223247692691446</v>
      </c>
      <c r="E131" s="104">
        <f>'Finansallar - Yeni Segment'!E189/E$13</f>
        <v>6.4259686550415456</v>
      </c>
      <c r="F131" s="104">
        <f>'Finansallar - Yeni Segment'!F189/F$13</f>
        <v>8.6664411039682889</v>
      </c>
      <c r="G131" s="104">
        <f>'Finansallar - Yeni Segment'!G189/G$13</f>
        <v>2.3611796349052248</v>
      </c>
      <c r="H131" s="104">
        <f>'Finansallar - Yeni Segment'!H189/H$13</f>
        <v>4.1658678828360696</v>
      </c>
    </row>
    <row r="132" spans="1:8" ht="15" customHeight="1" outlineLevel="1" x14ac:dyDescent="0.2">
      <c r="B132" s="24" t="s">
        <v>200</v>
      </c>
      <c r="C132" s="104">
        <f>'Finansallar - Yeni Segment'!C190/C$13</f>
        <v>0.19110475930567425</v>
      </c>
      <c r="D132" s="104">
        <f>'Finansallar - Yeni Segment'!D190/D$13</f>
        <v>0.34746145496956171</v>
      </c>
      <c r="E132" s="104">
        <f>'Finansallar - Yeni Segment'!E190/E$13</f>
        <v>0.4708048063950776</v>
      </c>
      <c r="F132" s="104">
        <f>'Finansallar - Yeni Segment'!F190/F$13</f>
        <v>0.6690753540528781</v>
      </c>
      <c r="G132" s="104">
        <f>'Finansallar - Yeni Segment'!G190/G$13</f>
        <v>0.15421832476564862</v>
      </c>
      <c r="H132" s="104">
        <f>'Finansallar - Yeni Segment'!H190/H$13</f>
        <v>0.29371701863604721</v>
      </c>
    </row>
    <row r="133" spans="1:8" ht="15" hidden="1" customHeight="1" outlineLevel="2" x14ac:dyDescent="0.2">
      <c r="B133" s="24"/>
      <c r="C133" s="104"/>
      <c r="D133" s="104"/>
      <c r="E133" s="104"/>
      <c r="F133" s="104"/>
      <c r="G133" s="104"/>
      <c r="H133" s="104"/>
    </row>
    <row r="134" spans="1:8" ht="15" hidden="1" customHeight="1" outlineLevel="2" x14ac:dyDescent="0.2">
      <c r="B134" s="24"/>
      <c r="C134" s="104"/>
      <c r="D134" s="104"/>
      <c r="E134" s="104"/>
      <c r="F134" s="104"/>
      <c r="G134" s="104"/>
      <c r="H134" s="104"/>
    </row>
    <row r="135" spans="1:8" ht="15" customHeight="1" outlineLevel="1" collapsed="1" x14ac:dyDescent="0.2">
      <c r="A135" s="55" t="s">
        <v>164</v>
      </c>
      <c r="B135" s="43" t="s">
        <v>162</v>
      </c>
      <c r="C135" s="102">
        <f>'Finansallar - Yeni Segment'!C193/C$13</f>
        <v>8.726830074043221</v>
      </c>
      <c r="D135" s="102">
        <f>'Finansallar - Yeni Segment'!D193/D$13</f>
        <v>18.181793666952064</v>
      </c>
      <c r="E135" s="102">
        <f>'Finansallar - Yeni Segment'!E193/E$13</f>
        <v>26.839971756755055</v>
      </c>
      <c r="F135" s="102">
        <f>'Finansallar - Yeni Segment'!F193/F$13</f>
        <v>36.335069360529737</v>
      </c>
      <c r="G135" s="102">
        <f>'Finansallar - Yeni Segment'!G193/G$13</f>
        <v>7.1332473912328451</v>
      </c>
      <c r="H135" s="102">
        <f>'Finansallar - Yeni Segment'!H193/H$13</f>
        <v>17.366586283788557</v>
      </c>
    </row>
    <row r="138" spans="1:8" ht="20.100000000000001" customHeight="1" outlineLevel="1" x14ac:dyDescent="0.2">
      <c r="B138" s="32" t="s">
        <v>165</v>
      </c>
      <c r="C138" s="33"/>
      <c r="D138" s="33"/>
      <c r="E138" s="33"/>
      <c r="F138" s="33"/>
      <c r="G138" s="33"/>
      <c r="H138" s="33"/>
    </row>
    <row r="139" spans="1:8" outlineLevel="1" x14ac:dyDescent="0.2">
      <c r="B139" s="34" t="s">
        <v>244</v>
      </c>
      <c r="C139" s="35" t="s">
        <v>233</v>
      </c>
      <c r="D139" s="35" t="s">
        <v>234</v>
      </c>
      <c r="E139" s="35" t="s">
        <v>235</v>
      </c>
      <c r="F139" s="35">
        <v>2022</v>
      </c>
      <c r="G139" s="35" t="s">
        <v>238</v>
      </c>
      <c r="H139" s="35" t="s">
        <v>239</v>
      </c>
    </row>
    <row r="140" spans="1:8" ht="15" customHeight="1" outlineLevel="1" x14ac:dyDescent="0.2">
      <c r="B140" s="42" t="s">
        <v>196</v>
      </c>
      <c r="C140" s="104">
        <f>'Finansallar - Yeni Segment'!C198/C$14</f>
        <v>-224.70052847915443</v>
      </c>
      <c r="D140" s="104">
        <f>'Finansallar - Yeni Segment'!D198/D$14</f>
        <v>-195.35059091727157</v>
      </c>
      <c r="E140" s="104">
        <f>'Finansallar - Yeni Segment'!E198/E$14</f>
        <v>-185.96617991980028</v>
      </c>
      <c r="F140" s="104">
        <f>'Finansallar - Yeni Segment'!F198/F$14</f>
        <v>-157.51447992598264</v>
      </c>
      <c r="G140" s="104">
        <f>'Finansallar - Yeni Segment'!G198/G$14</f>
        <v>-173.45388070615272</v>
      </c>
      <c r="H140" s="104">
        <f>'Finansallar - Yeni Segment'!H198/H$14</f>
        <v>-176.09125163129136</v>
      </c>
    </row>
    <row r="141" spans="1:8" ht="15" customHeight="1" outlineLevel="1" x14ac:dyDescent="0.2">
      <c r="B141" s="24" t="s">
        <v>241</v>
      </c>
      <c r="C141" s="104">
        <f>'Finansallar - Yeni Segment'!C199/C$14</f>
        <v>90.501850359830129</v>
      </c>
      <c r="D141" s="104">
        <f>'Finansallar - Yeni Segment'!D199/D$14</f>
        <v>72.234867118603404</v>
      </c>
      <c r="E141" s="104">
        <f>'Finansallar - Yeni Segment'!E199/E$14</f>
        <v>119.52307093678056</v>
      </c>
      <c r="F141" s="104">
        <f>'Finansallar - Yeni Segment'!F199/F$14</f>
        <v>111.59233727130278</v>
      </c>
      <c r="G141" s="104">
        <f>'Finansallar - Yeni Segment'!G199/G$14</f>
        <v>145.67497127337302</v>
      </c>
      <c r="H141" s="104">
        <f>'Finansallar - Yeni Segment'!H199/H$14</f>
        <v>-10.538316468588203</v>
      </c>
    </row>
    <row r="142" spans="1:8" ht="15" customHeight="1" outlineLevel="1" x14ac:dyDescent="0.2">
      <c r="B142" s="24" t="s">
        <v>200</v>
      </c>
      <c r="C142" s="104">
        <f>'Finansallar - Yeni Segment'!C200/C$14</f>
        <v>179.21964856819022</v>
      </c>
      <c r="D142" s="104">
        <f>'Finansallar - Yeni Segment'!D200/D$14</f>
        <v>187.22178894954706</v>
      </c>
      <c r="E142" s="104">
        <f>'Finansallar - Yeni Segment'!E200/E$14</f>
        <v>170.01750991688195</v>
      </c>
      <c r="F142" s="104">
        <f>'Finansallar - Yeni Segment'!F200/F$14</f>
        <v>115.41001053571719</v>
      </c>
      <c r="G142" s="104">
        <f>'Finansallar - Yeni Segment'!G200/G$14</f>
        <v>117.76694870991329</v>
      </c>
      <c r="H142" s="104">
        <f>'Finansallar - Yeni Segment'!H200/H$14</f>
        <v>98.990400068156035</v>
      </c>
    </row>
    <row r="143" spans="1:8" ht="15" hidden="1" customHeight="1" outlineLevel="2" x14ac:dyDescent="0.2">
      <c r="B143" s="24"/>
      <c r="C143" s="104"/>
      <c r="D143" s="104"/>
      <c r="E143" s="104"/>
      <c r="F143" s="104"/>
      <c r="G143" s="104"/>
      <c r="H143" s="104"/>
    </row>
    <row r="144" spans="1:8" ht="15" hidden="1" customHeight="1" outlineLevel="2" x14ac:dyDescent="0.2">
      <c r="B144" s="24"/>
      <c r="C144" s="104"/>
      <c r="D144" s="104"/>
      <c r="E144" s="104"/>
      <c r="F144" s="104"/>
      <c r="G144" s="104"/>
      <c r="H144" s="104"/>
    </row>
    <row r="145" spans="1:8" ht="15" customHeight="1" outlineLevel="1" collapsed="1" x14ac:dyDescent="0.2">
      <c r="A145" s="55" t="s">
        <v>164</v>
      </c>
      <c r="B145" s="43" t="s">
        <v>166</v>
      </c>
      <c r="C145" s="102">
        <f>'Finansallar - Yeni Segment'!C203/C$14</f>
        <v>45.020970448865903</v>
      </c>
      <c r="D145" s="102">
        <f>'Finansallar - Yeni Segment'!D203/D$14</f>
        <v>64.106065150878891</v>
      </c>
      <c r="E145" s="102">
        <f>'Finansallar - Yeni Segment'!E203/E$14</f>
        <v>103.57440093386222</v>
      </c>
      <c r="F145" s="102">
        <f>'Finansallar - Yeni Segment'!F203/F$14</f>
        <v>69.487867881037332</v>
      </c>
      <c r="G145" s="102">
        <f>'Finansallar - Yeni Segment'!G203/G$14</f>
        <v>89.988039277133609</v>
      </c>
      <c r="H145" s="102">
        <f>'Finansallar - Yeni Segment'!H203/H$14</f>
        <v>-87.639168031723514</v>
      </c>
    </row>
    <row r="146" spans="1:8" x14ac:dyDescent="0.2">
      <c r="A146" s="55"/>
      <c r="B146" s="2"/>
    </row>
    <row r="148" spans="1:8" x14ac:dyDescent="0.2">
      <c r="C148" s="3"/>
      <c r="G148" s="3"/>
      <c r="H148" s="3"/>
    </row>
  </sheetData>
  <hyperlinks>
    <hyperlink ref="B4" location="'Finansal Veriler - Yeni - USD'!A44" display="Konsolide Özet Gelir Tablosu (Çeyreklik)" xr:uid="{A6E1AA44-381C-4BDA-91A8-BF21576C642E}"/>
    <hyperlink ref="B3" location="'Finansal Veriler - Yeni - USD'!A28" display="Konsolide Özet Gelir Tablosu (Kümülatif)" xr:uid="{8AD37B29-9622-4857-AFFA-EE76E35E7EE3}"/>
    <hyperlink ref="B5" location="'Finansal Veriler - Yeni - USD'!A66" display="Konsolide Gelir, FAVÖK ve Net Kar Dağılımı (Kümülatif)" xr:uid="{08A4F75C-0E34-40FE-866A-CC2EE552CB0B}"/>
    <hyperlink ref="B7" location="'Finansal Veriler - Yeni - USD'!A103" display="Konsolide Gelir, FAVÖK ve Net Kar Dağılımı (Çeyreklik)" xr:uid="{CF5C681D-3224-418F-A310-B1DF5F0E5D14}"/>
    <hyperlink ref="A29" location="'Finansal Veriler - Yeni - USD'!A1" display="Yukarı" xr:uid="{0F8BFDCC-47EA-48FB-9B9B-7A308244E91D}"/>
    <hyperlink ref="B9" location="'Finansal Veriler - Yeni - USD'!A134" display="Maddi, maddi olmayan duran varlıklar ile ilgili bölümler bazında bilgi" xr:uid="{FFED1819-0EC4-421F-8CEE-AB211067C8DA}"/>
    <hyperlink ref="B10" location="'Finansal Veriler - Yeni - USD'!A144" display="Net Nakit Durumu" xr:uid="{55498E94-6B96-4240-B93B-149162C7AF6B}"/>
    <hyperlink ref="A45" location="'Finansal Veriler - Yeni - USD'!A1" display="Yukarı" xr:uid="{FD961746-F8A6-483A-86CB-B6C95850702D}"/>
    <hyperlink ref="A67" location="'Finansal Veriler - Yeni - USD'!A1" display="Yukarı" xr:uid="{D071B9EB-EF7D-4C7E-908A-64748D5E81E4}"/>
    <hyperlink ref="A104" location="'Finansal Veriler - Yeni - USD'!A1" display="Yukarı" xr:uid="{32ECCBCC-E5AB-493F-AF8A-B1A2A285A188}"/>
    <hyperlink ref="A145" location="'Finansal Veriler - Yeni - USD'!A1" display="Yukarı" xr:uid="{A2BF9807-64D2-4E66-AAAE-8D90C5C0B2A1}"/>
    <hyperlink ref="A135" location="'Finansal Veriler - Yeni - USD'!A1" display="Yukarı" xr:uid="{89A6C7CA-B9E6-4F6A-BA55-059DC02BBFAE}"/>
    <hyperlink ref="A119" location="'Finansal Veriler - Yeni - USD'!A1" display="Yukarı" xr:uid="{ED7E725F-9C0D-4622-809E-5AAB791AB95E}"/>
    <hyperlink ref="A82" location="'Finansal Veriler - Yeni - USD'!A1" display="Yukarı" xr:uid="{1B6E68CF-883A-46EB-8258-D492C709F750}"/>
    <hyperlink ref="B6" location="'Finansal Veriler - Yeni - USD'!A81" display="Konsolide FAVÖK ve Net Kar Marjları Dağılımı (Kümülatif)" xr:uid="{EC70C162-5516-4AEB-BD26-16AA499FC7B2}"/>
    <hyperlink ref="B8" location="'Finansal Veriler - Yeni - USD'!A118" display="Konsolide FAVÖK ve Net Kar Marjları Dağılımı (Çeyreklik)" xr:uid="{02C7A08C-3718-4E74-B519-DECA73F59E16}"/>
  </hyperlinks>
  <pageMargins left="0.25" right="0.25" top="0.75" bottom="0.75" header="0.3" footer="0.3"/>
  <pageSetup paperSize="8" scale="33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9A533-F4FE-4570-A7CD-512C13350844}">
  <sheetPr>
    <tabColor theme="8" tint="0.39997558519241921"/>
    <pageSetUpPr fitToPage="1"/>
  </sheetPr>
  <dimension ref="A2:AM224"/>
  <sheetViews>
    <sheetView zoomScale="80" zoomScaleNormal="80" workbookViewId="0">
      <pane xSplit="2" topLeftCell="C1" activePane="topRight" state="frozen"/>
      <selection pane="topRight"/>
    </sheetView>
  </sheetViews>
  <sheetFormatPr defaultColWidth="9.140625" defaultRowHeight="12.75" outlineLevelRow="1" x14ac:dyDescent="0.2"/>
  <cols>
    <col min="1" max="1" width="8.7109375" style="56" customWidth="1"/>
    <col min="2" max="2" width="69.85546875" style="1" customWidth="1"/>
    <col min="3" max="18" width="10.7109375" style="1" customWidth="1"/>
    <col min="19" max="16384" width="9.140625" style="1"/>
  </cols>
  <sheetData>
    <row r="2" spans="1:18" s="94" customFormat="1" ht="24" customHeight="1" x14ac:dyDescent="0.25">
      <c r="A2" s="93"/>
      <c r="B2" s="92" t="s">
        <v>163</v>
      </c>
    </row>
    <row r="3" spans="1:18" ht="15.95" customHeight="1" x14ac:dyDescent="0.2">
      <c r="A3" s="77" t="s">
        <v>203</v>
      </c>
      <c r="B3" s="55" t="s">
        <v>149</v>
      </c>
    </row>
    <row r="4" spans="1:18" ht="15.95" customHeight="1" x14ac:dyDescent="0.2">
      <c r="A4" s="77" t="s">
        <v>203</v>
      </c>
      <c r="B4" s="55" t="s">
        <v>150</v>
      </c>
    </row>
    <row r="5" spans="1:18" ht="15.95" customHeight="1" x14ac:dyDescent="0.2">
      <c r="A5" s="77" t="s">
        <v>203</v>
      </c>
      <c r="B5" s="55" t="s">
        <v>151</v>
      </c>
    </row>
    <row r="6" spans="1:18" ht="15.95" customHeight="1" x14ac:dyDescent="0.2">
      <c r="A6" s="77" t="s">
        <v>203</v>
      </c>
      <c r="B6" s="55" t="s">
        <v>218</v>
      </c>
    </row>
    <row r="7" spans="1:18" ht="15.95" customHeight="1" x14ac:dyDescent="0.2">
      <c r="A7" s="77" t="s">
        <v>203</v>
      </c>
      <c r="B7" s="55" t="s">
        <v>152</v>
      </c>
    </row>
    <row r="8" spans="1:18" ht="15.95" customHeight="1" x14ac:dyDescent="0.2">
      <c r="A8" s="77" t="s">
        <v>203</v>
      </c>
      <c r="B8" s="55" t="s">
        <v>215</v>
      </c>
    </row>
    <row r="9" spans="1:18" ht="15.95" customHeight="1" x14ac:dyDescent="0.2">
      <c r="A9" s="77" t="s">
        <v>203</v>
      </c>
      <c r="B9" s="55" t="s">
        <v>111</v>
      </c>
    </row>
    <row r="10" spans="1:18" ht="15.95" customHeight="1" x14ac:dyDescent="0.2">
      <c r="A10" s="77" t="s">
        <v>203</v>
      </c>
      <c r="B10" s="55" t="s">
        <v>154</v>
      </c>
    </row>
    <row r="11" spans="1:18" ht="15.95" customHeight="1" x14ac:dyDescent="0.2">
      <c r="A11" s="77" t="s">
        <v>203</v>
      </c>
      <c r="B11" s="55" t="s">
        <v>123</v>
      </c>
    </row>
    <row r="12" spans="1:18" ht="15.95" customHeight="1" x14ac:dyDescent="0.2">
      <c r="A12" s="77" t="s">
        <v>203</v>
      </c>
      <c r="B12" s="55" t="s">
        <v>160</v>
      </c>
    </row>
    <row r="13" spans="1:18" ht="15.95" customHeight="1" x14ac:dyDescent="0.2">
      <c r="A13" s="77" t="s">
        <v>203</v>
      </c>
      <c r="B13" s="55" t="s">
        <v>165</v>
      </c>
    </row>
    <row r="14" spans="1:18" ht="15.95" customHeight="1" x14ac:dyDescent="0.2">
      <c r="A14" s="77" t="s">
        <v>203</v>
      </c>
      <c r="B14" s="55" t="s">
        <v>138</v>
      </c>
    </row>
    <row r="16" spans="1:18" ht="20.100000000000001" customHeight="1" outlineLevel="1" x14ac:dyDescent="0.2">
      <c r="B16" s="32" t="s">
        <v>149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39" outlineLevel="1" x14ac:dyDescent="0.2">
      <c r="B17" s="31" t="s">
        <v>65</v>
      </c>
      <c r="C17" s="35" t="s">
        <v>187</v>
      </c>
      <c r="D17" s="35" t="s">
        <v>189</v>
      </c>
      <c r="E17" s="35" t="s">
        <v>192</v>
      </c>
      <c r="F17" s="35">
        <v>2019</v>
      </c>
      <c r="G17" s="35" t="s">
        <v>194</v>
      </c>
      <c r="H17" s="35" t="s">
        <v>206</v>
      </c>
      <c r="I17" s="35" t="s">
        <v>207</v>
      </c>
      <c r="J17" s="35">
        <v>2020</v>
      </c>
      <c r="K17" s="35" t="s">
        <v>220</v>
      </c>
      <c r="L17" s="35" t="s">
        <v>221</v>
      </c>
      <c r="M17" s="35" t="s">
        <v>223</v>
      </c>
      <c r="N17" s="35">
        <v>2021</v>
      </c>
      <c r="O17" s="35" t="s">
        <v>233</v>
      </c>
      <c r="P17" s="35" t="s">
        <v>234</v>
      </c>
      <c r="Q17" s="35" t="s">
        <v>235</v>
      </c>
      <c r="R17" s="35">
        <v>2022</v>
      </c>
    </row>
    <row r="18" spans="1:39" ht="15" customHeight="1" outlineLevel="1" x14ac:dyDescent="0.2">
      <c r="B18" s="9" t="s">
        <v>66</v>
      </c>
      <c r="C18" s="3">
        <v>4587.4780000000001</v>
      </c>
      <c r="D18" s="3">
        <v>8305.8829999999998</v>
      </c>
      <c r="E18" s="3">
        <v>11296.815000000001</v>
      </c>
      <c r="F18" s="3">
        <v>14603.353999999999</v>
      </c>
      <c r="G18" s="3">
        <v>3021.94</v>
      </c>
      <c r="H18" s="3">
        <v>5680.3469999999998</v>
      </c>
      <c r="I18" s="3">
        <v>8373.5879999999997</v>
      </c>
      <c r="J18" s="3">
        <v>11729.779</v>
      </c>
      <c r="K18" s="3">
        <v>3790.5909999999999</v>
      </c>
      <c r="L18" s="3">
        <v>7421.5420000000004</v>
      </c>
      <c r="M18" s="3">
        <v>11020.384</v>
      </c>
      <c r="N18" s="3">
        <v>16222.968000000001</v>
      </c>
      <c r="O18" s="3">
        <v>5295.826</v>
      </c>
      <c r="P18" s="3">
        <v>12995.146000000001</v>
      </c>
      <c r="Q18" s="3">
        <v>21218.111000000001</v>
      </c>
      <c r="R18" s="3">
        <v>30668.491999999998</v>
      </c>
    </row>
    <row r="19" spans="1:39" ht="15" customHeight="1" outlineLevel="1" x14ac:dyDescent="0.2">
      <c r="B19" s="2" t="s">
        <v>67</v>
      </c>
      <c r="C19" s="4">
        <v>1063.692</v>
      </c>
      <c r="D19" s="4">
        <v>1632.9970000000001</v>
      </c>
      <c r="E19" s="4">
        <v>2147.5610000000001</v>
      </c>
      <c r="F19" s="4">
        <v>2401.5619999999999</v>
      </c>
      <c r="G19" s="4">
        <v>243.97800000000001</v>
      </c>
      <c r="H19" s="4">
        <v>599.50099999999998</v>
      </c>
      <c r="I19" s="4">
        <v>717.27800000000002</v>
      </c>
      <c r="J19" s="4">
        <v>913.99699999999996</v>
      </c>
      <c r="K19" s="4">
        <v>650.35199999999998</v>
      </c>
      <c r="L19" s="4">
        <v>1096.6990000000001</v>
      </c>
      <c r="M19" s="4">
        <v>1538.0840000000001</v>
      </c>
      <c r="N19" s="4">
        <v>1280.0650000000001</v>
      </c>
      <c r="O19" s="4">
        <v>300.72500000000002</v>
      </c>
      <c r="P19" s="4">
        <v>1743.5350000000001</v>
      </c>
      <c r="Q19" s="4">
        <v>2730.3789999999999</v>
      </c>
      <c r="R19" s="4">
        <v>3609.8409999999999</v>
      </c>
    </row>
    <row r="20" spans="1:39" ht="15" customHeight="1" outlineLevel="1" x14ac:dyDescent="0.2">
      <c r="B20" s="22" t="s">
        <v>68</v>
      </c>
      <c r="C20" s="38">
        <v>0.23186857789835721</v>
      </c>
      <c r="D20" s="38">
        <v>0.19660727221898022</v>
      </c>
      <c r="E20" s="38">
        <v>0.19010322821078332</v>
      </c>
      <c r="F20" s="71">
        <v>0.16445276886391988</v>
      </c>
      <c r="G20" s="71">
        <f t="shared" ref="G20:M20" si="0">G19/G18</f>
        <v>8.0735553981879191E-2</v>
      </c>
      <c r="H20" s="71">
        <f t="shared" si="0"/>
        <v>0.10553950313246709</v>
      </c>
      <c r="I20" s="71">
        <f t="shared" si="0"/>
        <v>8.5659576277218319E-2</v>
      </c>
      <c r="J20" s="71">
        <f t="shared" si="0"/>
        <v>7.7921075921379243E-2</v>
      </c>
      <c r="K20" s="71">
        <f t="shared" si="0"/>
        <v>0.17157007970524912</v>
      </c>
      <c r="L20" s="71">
        <f t="shared" si="0"/>
        <v>0.1477723901582717</v>
      </c>
      <c r="M20" s="71">
        <f t="shared" si="0"/>
        <v>0.13956718749546296</v>
      </c>
      <c r="N20" s="71">
        <f t="shared" ref="N20:P20" si="1">N19/N18</f>
        <v>7.8904488993629285E-2</v>
      </c>
      <c r="O20" s="71">
        <f t="shared" si="1"/>
        <v>5.6785287129901933E-2</v>
      </c>
      <c r="P20" s="71">
        <f t="shared" si="1"/>
        <v>0.13416817325484454</v>
      </c>
      <c r="Q20" s="71">
        <f t="shared" ref="Q20:R20" si="2">Q19/Q18</f>
        <v>0.12868153060373752</v>
      </c>
      <c r="R20" s="71">
        <f t="shared" si="2"/>
        <v>0.11770520050350047</v>
      </c>
    </row>
    <row r="21" spans="1:39" ht="15" customHeight="1" outlineLevel="1" x14ac:dyDescent="0.2">
      <c r="B21" s="2" t="s">
        <v>69</v>
      </c>
      <c r="C21" s="39">
        <v>851.38400000000001</v>
      </c>
      <c r="D21" s="4">
        <v>1283.489</v>
      </c>
      <c r="E21" s="4">
        <v>1606.614</v>
      </c>
      <c r="F21" s="4">
        <v>1603.3910000000001</v>
      </c>
      <c r="G21" s="4">
        <v>-32.281999999999996</v>
      </c>
      <c r="H21" s="4">
        <v>68.188000000000002</v>
      </c>
      <c r="I21" s="4">
        <v>-75.617000000000004</v>
      </c>
      <c r="J21" s="4">
        <v>1.012</v>
      </c>
      <c r="K21" s="4">
        <v>306.58100000000002</v>
      </c>
      <c r="L21" s="4">
        <v>473.89</v>
      </c>
      <c r="M21" s="4">
        <v>738.71100000000001</v>
      </c>
      <c r="N21" s="4">
        <v>-478.221</v>
      </c>
      <c r="O21" s="4">
        <v>-177.846</v>
      </c>
      <c r="P21" s="4">
        <v>587.19100000000003</v>
      </c>
      <c r="Q21" s="4">
        <v>1007.802</v>
      </c>
      <c r="R21" s="4">
        <v>2350.415</v>
      </c>
    </row>
    <row r="22" spans="1:39" ht="15" customHeight="1" outlineLevel="1" x14ac:dyDescent="0.2">
      <c r="B22" s="22" t="s">
        <v>68</v>
      </c>
      <c r="C22" s="38">
        <v>0.18558868293210343</v>
      </c>
      <c r="D22" s="38">
        <v>0.15452770042631231</v>
      </c>
      <c r="E22" s="38">
        <v>0.14221831551636457</v>
      </c>
      <c r="F22" s="71">
        <v>0.10979607835295919</v>
      </c>
      <c r="G22" s="71">
        <f t="shared" ref="G22:M22" si="3">G21/G18</f>
        <v>-1.068254167852439E-2</v>
      </c>
      <c r="H22" s="71">
        <f t="shared" si="3"/>
        <v>1.2004196222519506E-2</v>
      </c>
      <c r="I22" s="71">
        <f t="shared" si="3"/>
        <v>-9.0304180239104206E-3</v>
      </c>
      <c r="J22" s="71">
        <f t="shared" si="3"/>
        <v>8.6276135296325696E-5</v>
      </c>
      <c r="K22" s="71">
        <f t="shared" si="3"/>
        <v>8.0879472356685286E-2</v>
      </c>
      <c r="L22" s="71">
        <f t="shared" si="3"/>
        <v>6.3853307035114798E-2</v>
      </c>
      <c r="M22" s="71">
        <f t="shared" si="3"/>
        <v>6.7031330305731635E-2</v>
      </c>
      <c r="N22" s="71">
        <f t="shared" ref="N22:P22" si="4">N21/N18</f>
        <v>-2.947802153095537E-2</v>
      </c>
      <c r="O22" s="71">
        <f t="shared" si="4"/>
        <v>-3.3582296699325088E-2</v>
      </c>
      <c r="P22" s="71">
        <f t="shared" si="4"/>
        <v>4.5185409998471739E-2</v>
      </c>
      <c r="Q22" s="71">
        <f t="shared" ref="Q22:R22" si="5">Q21/Q18</f>
        <v>4.7497253643361562E-2</v>
      </c>
      <c r="R22" s="71">
        <f t="shared" si="5"/>
        <v>7.6639405680592312E-2</v>
      </c>
    </row>
    <row r="23" spans="1:39" ht="15" customHeight="1" outlineLevel="1" x14ac:dyDescent="0.2">
      <c r="B23" s="2" t="s">
        <v>70</v>
      </c>
      <c r="C23" s="4">
        <v>942.63599999999997</v>
      </c>
      <c r="D23" s="4">
        <v>1397.3579999999999</v>
      </c>
      <c r="E23" s="4">
        <v>1799.191</v>
      </c>
      <c r="F23" s="4">
        <v>1921.048</v>
      </c>
      <c r="G23" s="4">
        <v>123.64400000000001</v>
      </c>
      <c r="H23" s="4">
        <v>348.87400000000002</v>
      </c>
      <c r="I23" s="4">
        <v>376.83800000000002</v>
      </c>
      <c r="J23" s="4">
        <v>458.75200000000001</v>
      </c>
      <c r="K23" s="4">
        <v>516.12800000000004</v>
      </c>
      <c r="L23" s="4">
        <v>826.55200000000002</v>
      </c>
      <c r="M23" s="4">
        <v>1216.617</v>
      </c>
      <c r="N23" s="4">
        <v>728</v>
      </c>
      <c r="O23" s="4">
        <v>127</v>
      </c>
      <c r="P23" s="4">
        <v>1264</v>
      </c>
      <c r="Q23" s="4">
        <v>1970</v>
      </c>
      <c r="R23" s="4">
        <v>3409.7829999999999</v>
      </c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ht="15" customHeight="1" outlineLevel="1" x14ac:dyDescent="0.2">
      <c r="B24" s="22" t="s">
        <v>68</v>
      </c>
      <c r="C24" s="38">
        <v>0.20548022246646194</v>
      </c>
      <c r="D24" s="38">
        <v>0.16823713986821148</v>
      </c>
      <c r="E24" s="38">
        <v>0.15926533275086827</v>
      </c>
      <c r="F24" s="71">
        <v>0.13154841004333662</v>
      </c>
      <c r="G24" s="38">
        <f t="shared" ref="G24:M24" si="6">G23/G18</f>
        <v>4.0915438426970756E-2</v>
      </c>
      <c r="H24" s="38">
        <f t="shared" si="6"/>
        <v>6.141772676915689E-2</v>
      </c>
      <c r="I24" s="38">
        <f t="shared" si="6"/>
        <v>4.5003169489590371E-2</v>
      </c>
      <c r="J24" s="38">
        <f t="shared" si="6"/>
        <v>3.9110029268241114E-2</v>
      </c>
      <c r="K24" s="38">
        <f t="shared" si="6"/>
        <v>0.13616029795881435</v>
      </c>
      <c r="L24" s="38">
        <f t="shared" si="6"/>
        <v>0.11137200328449262</v>
      </c>
      <c r="M24" s="38">
        <f t="shared" si="6"/>
        <v>0.11039696983335608</v>
      </c>
      <c r="N24" s="38">
        <f t="shared" ref="N24:P24" si="7">N23/N18</f>
        <v>4.4874649324340647E-2</v>
      </c>
      <c r="O24" s="38">
        <f t="shared" si="7"/>
        <v>2.398115043809974E-2</v>
      </c>
      <c r="P24" s="38">
        <f t="shared" si="7"/>
        <v>9.7267087264737151E-2</v>
      </c>
      <c r="Q24" s="38">
        <f t="shared" ref="Q24:R24" si="8">Q23/Q18</f>
        <v>9.2845211338558831E-2</v>
      </c>
      <c r="R24" s="38">
        <f t="shared" si="8"/>
        <v>0.111181958343436</v>
      </c>
    </row>
    <row r="25" spans="1:39" ht="15" customHeight="1" outlineLevel="1" x14ac:dyDescent="0.2">
      <c r="B25" s="1" t="s">
        <v>71</v>
      </c>
      <c r="C25" s="40">
        <v>109.654</v>
      </c>
      <c r="D25" s="40">
        <v>168.08100000000002</v>
      </c>
      <c r="E25" s="40">
        <v>167.66500000000002</v>
      </c>
      <c r="F25" s="40">
        <v>230.91400000000004</v>
      </c>
      <c r="G25" s="40">
        <f>177.626-85.766</f>
        <v>91.86</v>
      </c>
      <c r="H25" s="40">
        <f>333.8-175.362</f>
        <v>158.43800000000002</v>
      </c>
      <c r="I25" s="40">
        <f>635.605-261.896</f>
        <v>373.709</v>
      </c>
      <c r="J25" s="40">
        <f>824.286-599.589</f>
        <v>224.69699999999989</v>
      </c>
      <c r="K25" s="40">
        <f>364.27-145.163</f>
        <v>219.10699999999997</v>
      </c>
      <c r="L25" s="40">
        <f>544.183-265.21</f>
        <v>278.97300000000001</v>
      </c>
      <c r="M25" s="40">
        <f>765.264-429.271</f>
        <v>335.99299999999999</v>
      </c>
      <c r="N25" s="40">
        <f>2918.301-1700.004</f>
        <v>1218.297</v>
      </c>
      <c r="O25" s="40">
        <f>730.608-527.837</f>
        <v>202.77099999999996</v>
      </c>
      <c r="P25" s="40">
        <f>1116.606-734.73</f>
        <v>381.87599999999998</v>
      </c>
      <c r="Q25" s="40">
        <f>1414.287-973.423</f>
        <v>440.86400000000003</v>
      </c>
      <c r="R25" s="40">
        <f>1493.661-1269.171</f>
        <v>224.49</v>
      </c>
    </row>
    <row r="26" spans="1:39" ht="15" customHeight="1" outlineLevel="1" x14ac:dyDescent="0.2">
      <c r="B26" s="66" t="s">
        <v>185</v>
      </c>
      <c r="C26" s="67">
        <v>971.05499999999995</v>
      </c>
      <c r="D26" s="67">
        <v>1460.625</v>
      </c>
      <c r="E26" s="67">
        <v>1793.89</v>
      </c>
      <c r="F26" s="67">
        <v>1777.0070000000001</v>
      </c>
      <c r="G26" s="67">
        <v>77.715999999999994</v>
      </c>
      <c r="H26" s="67">
        <v>259.48700000000002</v>
      </c>
      <c r="I26" s="67">
        <v>332.14400000000001</v>
      </c>
      <c r="J26" s="67">
        <v>229.47399999999999</v>
      </c>
      <c r="K26" s="67">
        <v>526.34900000000005</v>
      </c>
      <c r="L26" s="67">
        <v>991.21199999999999</v>
      </c>
      <c r="M26" s="67">
        <v>1456.75</v>
      </c>
      <c r="N26" s="67">
        <v>1129.0440000000001</v>
      </c>
      <c r="O26" s="67">
        <v>166.17599999999999</v>
      </c>
      <c r="P26" s="67">
        <v>1336.827</v>
      </c>
      <c r="Q26" s="67">
        <v>2050.306</v>
      </c>
      <c r="R26" s="67">
        <v>3231.5610000000001</v>
      </c>
    </row>
    <row r="27" spans="1:39" ht="15" customHeight="1" outlineLevel="1" x14ac:dyDescent="0.2">
      <c r="B27" s="1" t="s">
        <v>72</v>
      </c>
      <c r="C27" s="40">
        <v>-190.15</v>
      </c>
      <c r="D27" s="40">
        <v>-281.26400000000001</v>
      </c>
      <c r="E27" s="40">
        <v>-357.541</v>
      </c>
      <c r="F27" s="40">
        <v>-362.14800000000002</v>
      </c>
      <c r="G27" s="40">
        <v>-31.356999999999999</v>
      </c>
      <c r="H27" s="40">
        <f>-(95.169)-(22.896)</f>
        <v>-118.065</v>
      </c>
      <c r="I27" s="40">
        <v>-204.184</v>
      </c>
      <c r="J27" s="40">
        <v>-296.87200000000001</v>
      </c>
      <c r="K27" s="40">
        <v>-116.971</v>
      </c>
      <c r="L27" s="40">
        <v>-266.22500000000002</v>
      </c>
      <c r="M27" s="40">
        <v>-257.58100000000002</v>
      </c>
      <c r="N27" s="40">
        <f>-581.185+281.531</f>
        <v>-299.65399999999994</v>
      </c>
      <c r="O27" s="40">
        <f>19.023-86.148</f>
        <v>-67.125</v>
      </c>
      <c r="P27" s="40">
        <f>-89.818-180.847</f>
        <v>-270.66500000000002</v>
      </c>
      <c r="Q27" s="40">
        <f>-180.021-75.517</f>
        <v>-255.53799999999998</v>
      </c>
      <c r="R27" s="40">
        <f>-337.842+554.673</f>
        <v>216.83100000000002</v>
      </c>
    </row>
    <row r="28" spans="1:39" ht="15" customHeight="1" outlineLevel="1" x14ac:dyDescent="0.2">
      <c r="B28" s="46" t="s">
        <v>73</v>
      </c>
      <c r="C28" s="47">
        <v>780.90499999999997</v>
      </c>
      <c r="D28" s="47">
        <v>1179.3610000000001</v>
      </c>
      <c r="E28" s="47">
        <v>1436.3489999999999</v>
      </c>
      <c r="F28" s="47">
        <v>1414.8589999999999</v>
      </c>
      <c r="G28" s="47">
        <v>46.359000000000002</v>
      </c>
      <c r="H28" s="47">
        <v>141.422</v>
      </c>
      <c r="I28" s="47">
        <v>127.96</v>
      </c>
      <c r="J28" s="47">
        <v>-67.397999999999996</v>
      </c>
      <c r="K28" s="47">
        <v>409.37799999999999</v>
      </c>
      <c r="L28" s="47">
        <v>724.98699999999997</v>
      </c>
      <c r="M28" s="47">
        <v>1199.1690000000001</v>
      </c>
      <c r="N28" s="47">
        <v>829.39</v>
      </c>
      <c r="O28" s="47">
        <v>99.051000000000002</v>
      </c>
      <c r="P28" s="47">
        <v>1066.162</v>
      </c>
      <c r="Q28" s="47">
        <v>1794.768</v>
      </c>
      <c r="R28" s="47">
        <v>3448.3919999999998</v>
      </c>
    </row>
    <row r="29" spans="1:39" ht="15" customHeight="1" outlineLevel="1" x14ac:dyDescent="0.2">
      <c r="A29" s="55" t="s">
        <v>164</v>
      </c>
      <c r="B29" s="48" t="s">
        <v>68</v>
      </c>
      <c r="C29" s="49">
        <v>0.17022533950026572</v>
      </c>
      <c r="D29" s="49">
        <v>0.14199104417916797</v>
      </c>
      <c r="E29" s="49">
        <v>0.12714636824627118</v>
      </c>
      <c r="F29" s="49">
        <v>9.6885893473513007E-2</v>
      </c>
      <c r="G29" s="49">
        <f t="shared" ref="G29:M29" si="9">G28/G18</f>
        <v>1.5340807560706037E-2</v>
      </c>
      <c r="H29" s="49">
        <f t="shared" si="9"/>
        <v>2.4896718457516769E-2</v>
      </c>
      <c r="I29" s="49">
        <f t="shared" si="9"/>
        <v>1.5281382365600027E-2</v>
      </c>
      <c r="J29" s="49">
        <f t="shared" si="9"/>
        <v>-5.7458883070175487E-3</v>
      </c>
      <c r="K29" s="49">
        <f t="shared" si="9"/>
        <v>0.10799846250888054</v>
      </c>
      <c r="L29" s="49">
        <f t="shared" si="9"/>
        <v>9.7686841898893775E-2</v>
      </c>
      <c r="M29" s="49">
        <f t="shared" si="9"/>
        <v>0.10881372191749399</v>
      </c>
      <c r="N29" s="49">
        <f t="shared" ref="N29:P29" si="10">N28/N18</f>
        <v>5.1124430498784193E-2</v>
      </c>
      <c r="O29" s="49">
        <f t="shared" si="10"/>
        <v>1.8703597890111948E-2</v>
      </c>
      <c r="P29" s="49">
        <f t="shared" si="10"/>
        <v>8.2043095167995808E-2</v>
      </c>
      <c r="Q29" s="49">
        <f t="shared" ref="Q29:R29" si="11">Q28/Q18</f>
        <v>8.4586606225219574E-2</v>
      </c>
      <c r="R29" s="49">
        <f t="shared" si="11"/>
        <v>0.11244087254110831</v>
      </c>
    </row>
    <row r="32" spans="1:39" ht="20.100000000000001" customHeight="1" outlineLevel="1" x14ac:dyDescent="0.2">
      <c r="B32" s="32" t="s">
        <v>150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outlineLevel="1" x14ac:dyDescent="0.2">
      <c r="B33" s="31" t="s">
        <v>65</v>
      </c>
      <c r="C33" s="35" t="s">
        <v>186</v>
      </c>
      <c r="D33" s="35" t="s">
        <v>188</v>
      </c>
      <c r="E33" s="35" t="s">
        <v>191</v>
      </c>
      <c r="F33" s="35" t="s">
        <v>193</v>
      </c>
      <c r="G33" s="35" t="s">
        <v>195</v>
      </c>
      <c r="H33" s="35" t="s">
        <v>205</v>
      </c>
      <c r="I33" s="35" t="s">
        <v>208</v>
      </c>
      <c r="J33" s="35" t="s">
        <v>212</v>
      </c>
      <c r="K33" s="35" t="s">
        <v>219</v>
      </c>
      <c r="L33" s="35" t="s">
        <v>222</v>
      </c>
      <c r="M33" s="35" t="s">
        <v>224</v>
      </c>
      <c r="N33" s="35" t="s">
        <v>226</v>
      </c>
      <c r="O33" s="35" t="s">
        <v>225</v>
      </c>
      <c r="P33" s="35" t="s">
        <v>227</v>
      </c>
      <c r="Q33" s="35" t="s">
        <v>228</v>
      </c>
      <c r="R33" s="35" t="s">
        <v>236</v>
      </c>
    </row>
    <row r="34" spans="1:18" ht="15" customHeight="1" outlineLevel="1" x14ac:dyDescent="0.2">
      <c r="B34" s="9" t="s">
        <v>66</v>
      </c>
      <c r="C34" s="132">
        <f>+C18</f>
        <v>4587.4780000000001</v>
      </c>
      <c r="D34" s="37">
        <f t="shared" ref="D34:R35" si="12">+D18-C18</f>
        <v>3718.4049999999997</v>
      </c>
      <c r="E34" s="37">
        <f t="shared" si="12"/>
        <v>2990.9320000000007</v>
      </c>
      <c r="F34" s="37">
        <f t="shared" si="12"/>
        <v>3306.5389999999989</v>
      </c>
      <c r="G34" s="132">
        <f>+G18</f>
        <v>3021.94</v>
      </c>
      <c r="H34" s="37">
        <f t="shared" si="12"/>
        <v>2658.4069999999997</v>
      </c>
      <c r="I34" s="37">
        <f t="shared" si="12"/>
        <v>2693.241</v>
      </c>
      <c r="J34" s="37">
        <f t="shared" si="12"/>
        <v>3356.1910000000007</v>
      </c>
      <c r="K34" s="132">
        <f>+K18</f>
        <v>3790.5909999999999</v>
      </c>
      <c r="L34" s="37">
        <f t="shared" si="12"/>
        <v>3630.9510000000005</v>
      </c>
      <c r="M34" s="37">
        <f t="shared" si="12"/>
        <v>3598.8419999999996</v>
      </c>
      <c r="N34" s="37">
        <f t="shared" si="12"/>
        <v>5202.5840000000007</v>
      </c>
      <c r="O34" s="132">
        <f>+O18</f>
        <v>5295.826</v>
      </c>
      <c r="P34" s="37">
        <f t="shared" si="12"/>
        <v>7699.3200000000006</v>
      </c>
      <c r="Q34" s="37">
        <f t="shared" si="12"/>
        <v>8222.9650000000001</v>
      </c>
      <c r="R34" s="37">
        <f t="shared" si="12"/>
        <v>9450.3809999999976</v>
      </c>
    </row>
    <row r="35" spans="1:18" ht="15" customHeight="1" outlineLevel="1" x14ac:dyDescent="0.2">
      <c r="B35" s="2" t="s">
        <v>67</v>
      </c>
      <c r="C35" s="133">
        <f>+C19</f>
        <v>1063.692</v>
      </c>
      <c r="D35" s="4">
        <f t="shared" si="12"/>
        <v>569.30500000000006</v>
      </c>
      <c r="E35" s="4">
        <f t="shared" si="12"/>
        <v>514.56400000000008</v>
      </c>
      <c r="F35" s="4">
        <f t="shared" si="12"/>
        <v>254.00099999999975</v>
      </c>
      <c r="G35" s="133">
        <f>+G19</f>
        <v>243.97800000000001</v>
      </c>
      <c r="H35" s="4">
        <f t="shared" si="12"/>
        <v>355.52299999999997</v>
      </c>
      <c r="I35" s="4">
        <f t="shared" si="12"/>
        <v>117.77700000000004</v>
      </c>
      <c r="J35" s="4">
        <f t="shared" si="12"/>
        <v>196.71899999999994</v>
      </c>
      <c r="K35" s="133">
        <f>+K19</f>
        <v>650.35199999999998</v>
      </c>
      <c r="L35" s="4">
        <f t="shared" si="12"/>
        <v>446.34700000000009</v>
      </c>
      <c r="M35" s="4">
        <f t="shared" si="12"/>
        <v>441.38499999999999</v>
      </c>
      <c r="N35" s="4">
        <f t="shared" si="12"/>
        <v>-258.01900000000001</v>
      </c>
      <c r="O35" s="133">
        <f>+O19</f>
        <v>300.72500000000002</v>
      </c>
      <c r="P35" s="4">
        <f t="shared" ref="P35" si="13">+P19-O19</f>
        <v>1442.81</v>
      </c>
      <c r="Q35" s="4">
        <f t="shared" ref="Q35" si="14">+Q19-P19</f>
        <v>986.84399999999982</v>
      </c>
      <c r="R35" s="4">
        <f t="shared" si="12"/>
        <v>879.46199999999999</v>
      </c>
    </row>
    <row r="36" spans="1:18" ht="15" customHeight="1" outlineLevel="1" x14ac:dyDescent="0.2">
      <c r="B36" s="22" t="s">
        <v>68</v>
      </c>
      <c r="C36" s="126">
        <f t="shared" ref="C36:F36" si="15">+C35/C34</f>
        <v>0.23186857789835721</v>
      </c>
      <c r="D36" s="38">
        <f t="shared" si="15"/>
        <v>0.15310462416009019</v>
      </c>
      <c r="E36" s="38">
        <f t="shared" si="15"/>
        <v>0.17204135700845086</v>
      </c>
      <c r="F36" s="71">
        <f t="shared" si="15"/>
        <v>7.681778439631283E-2</v>
      </c>
      <c r="G36" s="126">
        <f t="shared" ref="G36" si="16">+G35/G34</f>
        <v>8.0735553981879191E-2</v>
      </c>
      <c r="H36" s="38">
        <f t="shared" ref="G36:H36" si="17">+H35/H34</f>
        <v>0.13373535354067304</v>
      </c>
      <c r="I36" s="38">
        <f t="shared" ref="I36:L36" si="18">+I35/I34</f>
        <v>4.3730583338067425E-2</v>
      </c>
      <c r="J36" s="38">
        <f t="shared" si="18"/>
        <v>5.8613767809996477E-2</v>
      </c>
      <c r="K36" s="126">
        <f t="shared" si="18"/>
        <v>0.17157007970524912</v>
      </c>
      <c r="L36" s="38">
        <f t="shared" si="18"/>
        <v>0.12292840085145738</v>
      </c>
      <c r="M36" s="38">
        <f t="shared" ref="M36:P36" si="19">+M35/M34</f>
        <v>0.12264639570172851</v>
      </c>
      <c r="N36" s="38">
        <f t="shared" si="19"/>
        <v>-4.9594393862742045E-2</v>
      </c>
      <c r="O36" s="126">
        <f t="shared" si="19"/>
        <v>5.6785287129901933E-2</v>
      </c>
      <c r="P36" s="38">
        <f t="shared" si="19"/>
        <v>0.18739447120005401</v>
      </c>
      <c r="Q36" s="38">
        <f t="shared" ref="Q36:R36" si="20">+Q35/Q34</f>
        <v>0.12001072605805811</v>
      </c>
      <c r="R36" s="38">
        <f t="shared" si="20"/>
        <v>9.3061009921187321E-2</v>
      </c>
    </row>
    <row r="37" spans="1:18" ht="15" customHeight="1" outlineLevel="1" x14ac:dyDescent="0.2">
      <c r="B37" s="2" t="s">
        <v>69</v>
      </c>
      <c r="C37" s="138">
        <f>+C21</f>
        <v>851.38400000000001</v>
      </c>
      <c r="D37" s="39">
        <f>+D21-C21</f>
        <v>432.10500000000002</v>
      </c>
      <c r="E37" s="39">
        <f>+E21-D21</f>
        <v>323.125</v>
      </c>
      <c r="F37" s="39">
        <f>+F21-E21</f>
        <v>-3.2229999999999563</v>
      </c>
      <c r="G37" s="138">
        <f>+G21</f>
        <v>-32.281999999999996</v>
      </c>
      <c r="H37" s="39">
        <f>+H21-G21</f>
        <v>100.47</v>
      </c>
      <c r="I37" s="39">
        <f>+I21-H21</f>
        <v>-143.80500000000001</v>
      </c>
      <c r="J37" s="39">
        <f>+J21-I21</f>
        <v>76.629000000000005</v>
      </c>
      <c r="K37" s="138">
        <f>+K21</f>
        <v>306.58100000000002</v>
      </c>
      <c r="L37" s="39">
        <f>+L21-K21</f>
        <v>167.30899999999997</v>
      </c>
      <c r="M37" s="39">
        <f>+M21-L21</f>
        <v>264.82100000000003</v>
      </c>
      <c r="N37" s="39">
        <f>+N21-M21</f>
        <v>-1216.932</v>
      </c>
      <c r="O37" s="138">
        <f>+O21</f>
        <v>-177.846</v>
      </c>
      <c r="P37" s="39">
        <f>+P21-O21</f>
        <v>765.03700000000003</v>
      </c>
      <c r="Q37" s="39">
        <f>+Q21-P21</f>
        <v>420.61099999999999</v>
      </c>
      <c r="R37" s="39">
        <f>+R21-Q21</f>
        <v>1342.6129999999998</v>
      </c>
    </row>
    <row r="38" spans="1:18" ht="15" customHeight="1" outlineLevel="1" x14ac:dyDescent="0.2">
      <c r="B38" s="22" t="s">
        <v>68</v>
      </c>
      <c r="C38" s="126">
        <f t="shared" ref="C38:F38" si="21">+C37/C34</f>
        <v>0.18558868293210343</v>
      </c>
      <c r="D38" s="38">
        <f t="shared" si="21"/>
        <v>0.11620708341345283</v>
      </c>
      <c r="E38" s="38">
        <f t="shared" si="21"/>
        <v>0.10803488678445379</v>
      </c>
      <c r="F38" s="71">
        <f t="shared" si="21"/>
        <v>-9.7473521407125618E-4</v>
      </c>
      <c r="G38" s="126">
        <f t="shared" ref="G38" si="22">+G37/G34</f>
        <v>-1.068254167852439E-2</v>
      </c>
      <c r="H38" s="38">
        <f t="shared" ref="G38:H38" si="23">+H37/H34</f>
        <v>3.7793310053727672E-2</v>
      </c>
      <c r="I38" s="38">
        <f t="shared" ref="I38:L38" si="24">+I37/I34</f>
        <v>-5.339477603378235E-2</v>
      </c>
      <c r="J38" s="38">
        <f t="shared" si="24"/>
        <v>2.2832133212919048E-2</v>
      </c>
      <c r="K38" s="126">
        <f t="shared" si="24"/>
        <v>8.0879472356685286E-2</v>
      </c>
      <c r="L38" s="38">
        <f t="shared" si="24"/>
        <v>4.6078561787256271E-2</v>
      </c>
      <c r="M38" s="38">
        <f t="shared" ref="M38:P38" si="25">+M37/M34</f>
        <v>7.3585058749453314E-2</v>
      </c>
      <c r="N38" s="38">
        <f t="shared" si="25"/>
        <v>-0.23390914976096491</v>
      </c>
      <c r="O38" s="126">
        <f t="shared" si="25"/>
        <v>-3.3582296699325088E-2</v>
      </c>
      <c r="P38" s="38">
        <f t="shared" si="25"/>
        <v>9.936422956832551E-2</v>
      </c>
      <c r="Q38" s="38">
        <f t="shared" ref="Q38:R38" si="26">+Q37/Q34</f>
        <v>5.115077104183223E-2</v>
      </c>
      <c r="R38" s="38">
        <f t="shared" si="26"/>
        <v>0.14206972184507696</v>
      </c>
    </row>
    <row r="39" spans="1:18" ht="15" customHeight="1" outlineLevel="1" x14ac:dyDescent="0.2">
      <c r="B39" s="2" t="s">
        <v>70</v>
      </c>
      <c r="C39" s="133">
        <f>+C23</f>
        <v>942.63599999999997</v>
      </c>
      <c r="D39" s="4">
        <f>+D23-C23</f>
        <v>454.72199999999998</v>
      </c>
      <c r="E39" s="4">
        <f>+E23-D23</f>
        <v>401.83300000000008</v>
      </c>
      <c r="F39" s="4">
        <f>+F23-E23</f>
        <v>121.85699999999997</v>
      </c>
      <c r="G39" s="133">
        <f>+G23</f>
        <v>123.64400000000001</v>
      </c>
      <c r="H39" s="4">
        <f>+H23-G23</f>
        <v>225.23000000000002</v>
      </c>
      <c r="I39" s="4">
        <f>+I23-H23</f>
        <v>27.963999999999999</v>
      </c>
      <c r="J39" s="4">
        <f>+J23-I23</f>
        <v>81.913999999999987</v>
      </c>
      <c r="K39" s="133">
        <f>+K23</f>
        <v>516.12800000000004</v>
      </c>
      <c r="L39" s="4">
        <f>+L23-K23</f>
        <v>310.42399999999998</v>
      </c>
      <c r="M39" s="4">
        <f>+M23-L23</f>
        <v>390.06499999999994</v>
      </c>
      <c r="N39" s="4">
        <f>+N23-M23</f>
        <v>-488.61699999999996</v>
      </c>
      <c r="O39" s="133">
        <f>+O23</f>
        <v>127</v>
      </c>
      <c r="P39" s="4">
        <f>+P23-O23</f>
        <v>1137</v>
      </c>
      <c r="Q39" s="4">
        <f>+Q23-P23</f>
        <v>706</v>
      </c>
      <c r="R39" s="4">
        <f>+R23-Q23</f>
        <v>1439.7829999999999</v>
      </c>
    </row>
    <row r="40" spans="1:18" ht="15" customHeight="1" outlineLevel="1" x14ac:dyDescent="0.2">
      <c r="B40" s="22" t="s">
        <v>68</v>
      </c>
      <c r="C40" s="126">
        <f t="shared" ref="C40:F40" si="27">+C39/C34</f>
        <v>0.20548022246646194</v>
      </c>
      <c r="D40" s="38">
        <f t="shared" si="27"/>
        <v>0.12228953005388063</v>
      </c>
      <c r="E40" s="38">
        <f t="shared" si="27"/>
        <v>0.13435042989944271</v>
      </c>
      <c r="F40" s="71">
        <f t="shared" si="27"/>
        <v>3.6853338188359494E-2</v>
      </c>
      <c r="G40" s="126">
        <f t="shared" ref="G40" si="28">+G39/G34</f>
        <v>4.0915438426970756E-2</v>
      </c>
      <c r="H40" s="38">
        <f t="shared" ref="G40:H40" si="29">+H39/H34</f>
        <v>8.472367098040294E-2</v>
      </c>
      <c r="I40" s="38">
        <f t="shared" ref="I40:L40" si="30">+I39/I34</f>
        <v>1.03830292201849E-2</v>
      </c>
      <c r="J40" s="38">
        <f t="shared" si="30"/>
        <v>2.440683501028397E-2</v>
      </c>
      <c r="K40" s="126">
        <f t="shared" si="30"/>
        <v>0.13616029795881435</v>
      </c>
      <c r="L40" s="38">
        <f t="shared" si="30"/>
        <v>8.54938554665155E-2</v>
      </c>
      <c r="M40" s="38">
        <f t="shared" ref="M40:P40" si="31">+M39/M34</f>
        <v>0.10838625313364687</v>
      </c>
      <c r="N40" s="38">
        <f t="shared" si="31"/>
        <v>-9.3918137602391399E-2</v>
      </c>
      <c r="O40" s="126">
        <f t="shared" si="31"/>
        <v>2.398115043809974E-2</v>
      </c>
      <c r="P40" s="38">
        <f t="shared" si="31"/>
        <v>0.14767537912439019</v>
      </c>
      <c r="Q40" s="38">
        <f t="shared" ref="Q40:R40" si="32">+Q39/Q34</f>
        <v>8.5857108719300149E-2</v>
      </c>
      <c r="R40" s="38">
        <f t="shared" si="32"/>
        <v>0.15235184697844459</v>
      </c>
    </row>
    <row r="41" spans="1:18" ht="15" customHeight="1" outlineLevel="1" x14ac:dyDescent="0.2">
      <c r="B41" s="1" t="s">
        <v>71</v>
      </c>
      <c r="C41" s="139">
        <f>+C25</f>
        <v>109.654</v>
      </c>
      <c r="D41" s="40">
        <f t="shared" ref="D41:N44" si="33">+D25-C25</f>
        <v>58.427000000000021</v>
      </c>
      <c r="E41" s="40">
        <f t="shared" si="33"/>
        <v>-0.41599999999999682</v>
      </c>
      <c r="F41" s="40">
        <f t="shared" si="33"/>
        <v>63.249000000000024</v>
      </c>
      <c r="G41" s="139">
        <f>+G25</f>
        <v>91.86</v>
      </c>
      <c r="H41" s="40">
        <f t="shared" si="33"/>
        <v>66.578000000000017</v>
      </c>
      <c r="I41" s="40">
        <f t="shared" si="33"/>
        <v>215.27099999999999</v>
      </c>
      <c r="J41" s="40">
        <f t="shared" si="33"/>
        <v>-149.01200000000011</v>
      </c>
      <c r="K41" s="139">
        <f>+K25</f>
        <v>219.10699999999997</v>
      </c>
      <c r="L41" s="40">
        <f t="shared" si="33"/>
        <v>59.866000000000042</v>
      </c>
      <c r="M41" s="40">
        <f t="shared" si="33"/>
        <v>57.019999999999982</v>
      </c>
      <c r="N41" s="40">
        <f t="shared" si="33"/>
        <v>882.30400000000009</v>
      </c>
      <c r="O41" s="139">
        <f>+O25</f>
        <v>202.77099999999996</v>
      </c>
      <c r="P41" s="40">
        <f t="shared" ref="P41:P44" si="34">+P25-O25</f>
        <v>179.10500000000002</v>
      </c>
      <c r="Q41" s="40">
        <f t="shared" ref="Q41:R44" si="35">+Q25-P25</f>
        <v>58.988000000000056</v>
      </c>
      <c r="R41" s="40">
        <f t="shared" si="35"/>
        <v>-216.37400000000002</v>
      </c>
    </row>
    <row r="42" spans="1:18" ht="15" customHeight="1" outlineLevel="1" x14ac:dyDescent="0.2">
      <c r="B42" s="66" t="s">
        <v>185</v>
      </c>
      <c r="C42" s="140">
        <f>+C26</f>
        <v>971.05499999999995</v>
      </c>
      <c r="D42" s="68">
        <f t="shared" si="33"/>
        <v>489.57000000000005</v>
      </c>
      <c r="E42" s="68">
        <f t="shared" si="33"/>
        <v>333.2650000000001</v>
      </c>
      <c r="F42" s="68">
        <f t="shared" si="33"/>
        <v>-16.883000000000038</v>
      </c>
      <c r="G42" s="140">
        <f>+G26</f>
        <v>77.715999999999994</v>
      </c>
      <c r="H42" s="68">
        <f t="shared" si="33"/>
        <v>181.77100000000002</v>
      </c>
      <c r="I42" s="68">
        <f t="shared" si="33"/>
        <v>72.656999999999982</v>
      </c>
      <c r="J42" s="68">
        <f t="shared" si="33"/>
        <v>-102.67000000000002</v>
      </c>
      <c r="K42" s="140">
        <f>+K26</f>
        <v>526.34900000000005</v>
      </c>
      <c r="L42" s="68">
        <f t="shared" si="33"/>
        <v>464.86299999999994</v>
      </c>
      <c r="M42" s="68">
        <f t="shared" si="33"/>
        <v>465.53800000000001</v>
      </c>
      <c r="N42" s="68">
        <f t="shared" si="33"/>
        <v>-327.7059999999999</v>
      </c>
      <c r="O42" s="140">
        <f>+O26</f>
        <v>166.17599999999999</v>
      </c>
      <c r="P42" s="68">
        <f t="shared" si="34"/>
        <v>1170.6510000000001</v>
      </c>
      <c r="Q42" s="68">
        <f t="shared" si="35"/>
        <v>713.47900000000004</v>
      </c>
      <c r="R42" s="68">
        <f t="shared" si="35"/>
        <v>1181.2550000000001</v>
      </c>
    </row>
    <row r="43" spans="1:18" ht="15" customHeight="1" outlineLevel="1" x14ac:dyDescent="0.2">
      <c r="B43" s="1" t="s">
        <v>72</v>
      </c>
      <c r="C43" s="139">
        <f>+C27</f>
        <v>-190.15</v>
      </c>
      <c r="D43" s="40">
        <f t="shared" si="33"/>
        <v>-91.114000000000004</v>
      </c>
      <c r="E43" s="40">
        <f t="shared" si="33"/>
        <v>-76.276999999999987</v>
      </c>
      <c r="F43" s="40">
        <f t="shared" si="33"/>
        <v>-4.6070000000000277</v>
      </c>
      <c r="G43" s="139">
        <f>+G27</f>
        <v>-31.356999999999999</v>
      </c>
      <c r="H43" s="40">
        <f t="shared" si="33"/>
        <v>-86.707999999999998</v>
      </c>
      <c r="I43" s="40">
        <f t="shared" si="33"/>
        <v>-86.119</v>
      </c>
      <c r="J43" s="40">
        <f t="shared" si="33"/>
        <v>-92.688000000000017</v>
      </c>
      <c r="K43" s="139">
        <f>+K27</f>
        <v>-116.971</v>
      </c>
      <c r="L43" s="40">
        <f t="shared" si="33"/>
        <v>-149.25400000000002</v>
      </c>
      <c r="M43" s="40">
        <f t="shared" si="33"/>
        <v>8.6440000000000055</v>
      </c>
      <c r="N43" s="40">
        <f t="shared" si="33"/>
        <v>-42.072999999999922</v>
      </c>
      <c r="O43" s="139">
        <f>+O27</f>
        <v>-67.125</v>
      </c>
      <c r="P43" s="40">
        <f t="shared" si="34"/>
        <v>-203.54000000000002</v>
      </c>
      <c r="Q43" s="40">
        <f t="shared" si="35"/>
        <v>15.127000000000038</v>
      </c>
      <c r="R43" s="40">
        <f t="shared" si="35"/>
        <v>472.36900000000003</v>
      </c>
    </row>
    <row r="44" spans="1:18" ht="15" customHeight="1" outlineLevel="1" x14ac:dyDescent="0.2">
      <c r="B44" s="46" t="s">
        <v>73</v>
      </c>
      <c r="C44" s="47">
        <f>+C28</f>
        <v>780.90499999999997</v>
      </c>
      <c r="D44" s="47">
        <f t="shared" si="33"/>
        <v>398.45600000000013</v>
      </c>
      <c r="E44" s="47">
        <f t="shared" si="33"/>
        <v>256.98799999999983</v>
      </c>
      <c r="F44" s="47">
        <f t="shared" si="33"/>
        <v>-21.490000000000009</v>
      </c>
      <c r="G44" s="47">
        <f>+G28</f>
        <v>46.359000000000002</v>
      </c>
      <c r="H44" s="47">
        <f t="shared" si="33"/>
        <v>95.062999999999988</v>
      </c>
      <c r="I44" s="47">
        <f t="shared" si="33"/>
        <v>-13.462000000000003</v>
      </c>
      <c r="J44" s="47">
        <f t="shared" si="33"/>
        <v>-195.358</v>
      </c>
      <c r="K44" s="47">
        <f>+K28</f>
        <v>409.37799999999999</v>
      </c>
      <c r="L44" s="47">
        <f t="shared" si="33"/>
        <v>315.60899999999998</v>
      </c>
      <c r="M44" s="47">
        <f t="shared" si="33"/>
        <v>474.18200000000013</v>
      </c>
      <c r="N44" s="47">
        <f t="shared" si="33"/>
        <v>-369.77900000000011</v>
      </c>
      <c r="O44" s="47">
        <f>+O28</f>
        <v>99.051000000000002</v>
      </c>
      <c r="P44" s="47">
        <f t="shared" si="34"/>
        <v>967.11099999999999</v>
      </c>
      <c r="Q44" s="47">
        <f t="shared" si="35"/>
        <v>728.60599999999999</v>
      </c>
      <c r="R44" s="47">
        <f t="shared" si="35"/>
        <v>1653.6239999999998</v>
      </c>
    </row>
    <row r="45" spans="1:18" ht="15" customHeight="1" x14ac:dyDescent="0.2">
      <c r="A45" s="55" t="s">
        <v>164</v>
      </c>
      <c r="B45" s="48" t="s">
        <v>68</v>
      </c>
      <c r="C45" s="49">
        <f t="shared" ref="C45:F45" si="36">+C44/C34</f>
        <v>0.17022533950026572</v>
      </c>
      <c r="D45" s="49">
        <f t="shared" si="36"/>
        <v>0.10715777329258114</v>
      </c>
      <c r="E45" s="49">
        <f t="shared" si="36"/>
        <v>8.5922381384799046E-2</v>
      </c>
      <c r="F45" s="49">
        <f t="shared" si="36"/>
        <v>-6.4992428639129964E-3</v>
      </c>
      <c r="G45" s="49">
        <f t="shared" ref="G45" si="37">+G44/G34</f>
        <v>1.5340807560706037E-2</v>
      </c>
      <c r="H45" s="49">
        <f t="shared" ref="G45:H45" si="38">+H44/H34</f>
        <v>3.5759385225813803E-2</v>
      </c>
      <c r="I45" s="49">
        <f t="shared" ref="I45" si="39">+I44/I34</f>
        <v>-4.9984386840984532E-3</v>
      </c>
      <c r="J45" s="49">
        <f t="shared" ref="J45:L45" si="40">+J44/J34</f>
        <v>-5.8208248577032703E-2</v>
      </c>
      <c r="K45" s="49">
        <f t="shared" si="40"/>
        <v>0.10799846250888054</v>
      </c>
      <c r="L45" s="49">
        <f t="shared" si="40"/>
        <v>8.6921856009623905E-2</v>
      </c>
      <c r="M45" s="49">
        <f t="shared" ref="M45:P45" si="41">+M44/M34</f>
        <v>0.13175960489513019</v>
      </c>
      <c r="N45" s="49">
        <f t="shared" si="41"/>
        <v>-7.1076026835895409E-2</v>
      </c>
      <c r="O45" s="49">
        <f t="shared" si="41"/>
        <v>1.8703597890111948E-2</v>
      </c>
      <c r="P45" s="49">
        <f t="shared" si="41"/>
        <v>0.12560992399328771</v>
      </c>
      <c r="Q45" s="49">
        <f t="shared" ref="Q45:R45" si="42">+Q44/Q34</f>
        <v>8.8606238747215876E-2</v>
      </c>
      <c r="R45" s="49">
        <f t="shared" si="42"/>
        <v>0.17497961193310621</v>
      </c>
    </row>
    <row r="48" spans="1:18" ht="20.100000000000001" customHeight="1" outlineLevel="1" x14ac:dyDescent="0.2">
      <c r="B48" s="32" t="s">
        <v>151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2:39" outlineLevel="1" x14ac:dyDescent="0.2">
      <c r="B49" s="34" t="s">
        <v>65</v>
      </c>
      <c r="C49" s="35" t="s">
        <v>187</v>
      </c>
      <c r="D49" s="35" t="s">
        <v>189</v>
      </c>
      <c r="E49" s="35" t="s">
        <v>192</v>
      </c>
      <c r="F49" s="35">
        <v>2019</v>
      </c>
      <c r="G49" s="35" t="s">
        <v>194</v>
      </c>
      <c r="H49" s="35" t="s">
        <v>206</v>
      </c>
      <c r="I49" s="35" t="s">
        <v>207</v>
      </c>
      <c r="J49" s="35">
        <v>2020</v>
      </c>
      <c r="K49" s="35" t="s">
        <v>220</v>
      </c>
      <c r="L49" s="35" t="s">
        <v>221</v>
      </c>
      <c r="M49" s="35" t="s">
        <v>223</v>
      </c>
      <c r="N49" s="35">
        <v>2021</v>
      </c>
      <c r="O49" s="35" t="s">
        <v>233</v>
      </c>
      <c r="P49" s="35" t="s">
        <v>234</v>
      </c>
      <c r="Q49" s="35" t="s">
        <v>235</v>
      </c>
      <c r="R49" s="35">
        <v>2022</v>
      </c>
    </row>
    <row r="50" spans="2:39" ht="15" customHeight="1" outlineLevel="1" x14ac:dyDescent="0.2">
      <c r="B50" s="42" t="s">
        <v>196</v>
      </c>
      <c r="C50" s="3">
        <v>3324.8870000000002</v>
      </c>
      <c r="D50" s="3">
        <v>5966.3059999999996</v>
      </c>
      <c r="E50" s="3">
        <v>8220.4830000000002</v>
      </c>
      <c r="F50" s="3">
        <v>10538.494000000001</v>
      </c>
      <c r="G50" s="3">
        <v>1787.181</v>
      </c>
      <c r="H50" s="3">
        <v>3608.26</v>
      </c>
      <c r="I50" s="3">
        <v>5056.1229999999996</v>
      </c>
      <c r="J50" s="59">
        <v>7107.5069999999996</v>
      </c>
      <c r="K50" s="3">
        <v>2094.9929999999999</v>
      </c>
      <c r="L50" s="3">
        <v>4009.6460000000002</v>
      </c>
      <c r="M50" s="3">
        <v>5978.6559999999999</v>
      </c>
      <c r="N50" s="59">
        <v>8197.4259999999995</v>
      </c>
      <c r="O50" s="3">
        <v>1964.1479999999999</v>
      </c>
      <c r="P50" s="3">
        <v>4945.17</v>
      </c>
      <c r="Q50" s="3">
        <v>7589.1220000000003</v>
      </c>
      <c r="R50" s="59">
        <v>10915.940199999999</v>
      </c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2:39" ht="15" customHeight="1" outlineLevel="1" x14ac:dyDescent="0.2">
      <c r="B51" s="24" t="s">
        <v>197</v>
      </c>
      <c r="C51" s="3">
        <v>1171.3889999999999</v>
      </c>
      <c r="D51" s="3">
        <v>2061.1689999999999</v>
      </c>
      <c r="E51" s="3">
        <v>2632.8</v>
      </c>
      <c r="F51" s="3">
        <v>3439.4270000000001</v>
      </c>
      <c r="G51" s="3">
        <v>1114.5519999999999</v>
      </c>
      <c r="H51" s="3">
        <v>1776.453</v>
      </c>
      <c r="I51" s="3">
        <v>2791.9580000000001</v>
      </c>
      <c r="J51" s="59">
        <v>3887.8069999999998</v>
      </c>
      <c r="K51" s="3">
        <v>1560.693</v>
      </c>
      <c r="L51" s="3">
        <v>3084.3249999999998</v>
      </c>
      <c r="M51" s="3">
        <v>4484.8440000000001</v>
      </c>
      <c r="N51" s="59">
        <v>7199.933</v>
      </c>
      <c r="O51" s="3">
        <v>3043.5639999999999</v>
      </c>
      <c r="P51" s="3">
        <v>7332.2129999999997</v>
      </c>
      <c r="Q51" s="3">
        <v>12345.226000000001</v>
      </c>
      <c r="R51" s="59">
        <v>17874.259999999998</v>
      </c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2:39" ht="15" customHeight="1" outlineLevel="1" x14ac:dyDescent="0.2">
      <c r="B52" s="24" t="s">
        <v>198</v>
      </c>
      <c r="C52" s="13">
        <v>4.3070000000000004</v>
      </c>
      <c r="D52" s="13">
        <v>80.406999999999996</v>
      </c>
      <c r="E52" s="3">
        <v>146.29</v>
      </c>
      <c r="F52" s="3">
        <v>205.631</v>
      </c>
      <c r="G52" s="3">
        <v>11.231</v>
      </c>
      <c r="H52" s="3">
        <v>58.661999999999999</v>
      </c>
      <c r="I52" s="3">
        <v>131.93</v>
      </c>
      <c r="J52" s="59">
        <v>200.589</v>
      </c>
      <c r="K52" s="3">
        <v>5.258</v>
      </c>
      <c r="L52" s="3">
        <v>58.183999999999997</v>
      </c>
      <c r="M52" s="3">
        <v>109.444</v>
      </c>
      <c r="N52" s="59">
        <v>183.76400000000001</v>
      </c>
      <c r="O52" s="3">
        <v>20.533000000000001</v>
      </c>
      <c r="P52" s="3">
        <v>78.552999999999997</v>
      </c>
      <c r="Q52" s="3">
        <v>145.357</v>
      </c>
      <c r="R52" s="59">
        <v>265.46209999999996</v>
      </c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2:39" ht="15" customHeight="1" outlineLevel="1" x14ac:dyDescent="0.2">
      <c r="B53" s="24" t="s">
        <v>199</v>
      </c>
      <c r="C53" s="13">
        <v>76.504000000000005</v>
      </c>
      <c r="D53" s="13">
        <v>177.166</v>
      </c>
      <c r="E53" s="3">
        <v>265.68599999999998</v>
      </c>
      <c r="F53" s="3">
        <v>377.44900000000001</v>
      </c>
      <c r="G53" s="3">
        <v>97.620999999999995</v>
      </c>
      <c r="H53" s="3">
        <v>213.54400000000001</v>
      </c>
      <c r="I53" s="3">
        <v>357.84699999999998</v>
      </c>
      <c r="J53" s="59">
        <v>486.24400000000003</v>
      </c>
      <c r="K53" s="3">
        <v>118.176</v>
      </c>
      <c r="L53" s="3">
        <v>245.75899999999999</v>
      </c>
      <c r="M53" s="3">
        <v>387.57100000000003</v>
      </c>
      <c r="N53" s="59">
        <v>562.39499999999998</v>
      </c>
      <c r="O53" s="3">
        <v>245.39099999999999</v>
      </c>
      <c r="P53" s="3">
        <v>591.05100000000004</v>
      </c>
      <c r="Q53" s="3">
        <v>1066.0519999999999</v>
      </c>
      <c r="R53" s="59">
        <v>1500.5445</v>
      </c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2:39" ht="15" customHeight="1" outlineLevel="1" x14ac:dyDescent="0.2">
      <c r="B54" s="24" t="s">
        <v>200</v>
      </c>
      <c r="C54" s="13">
        <v>10.391</v>
      </c>
      <c r="D54" s="13">
        <v>20.835000000000001</v>
      </c>
      <c r="E54" s="3">
        <v>31.556000000000001</v>
      </c>
      <c r="F54" s="3">
        <v>42.353000000000002</v>
      </c>
      <c r="G54" s="3">
        <v>11.355</v>
      </c>
      <c r="H54" s="3">
        <v>23.428000000000001</v>
      </c>
      <c r="I54" s="3">
        <v>35.729999999999997</v>
      </c>
      <c r="J54" s="59">
        <v>47.631999999999998</v>
      </c>
      <c r="K54" s="3">
        <v>11.471</v>
      </c>
      <c r="L54" s="3">
        <v>23.628</v>
      </c>
      <c r="M54" s="3">
        <v>59.869</v>
      </c>
      <c r="N54" s="59">
        <v>79.45</v>
      </c>
      <c r="O54" s="3">
        <v>22.19</v>
      </c>
      <c r="P54" s="3">
        <v>48.158999999999999</v>
      </c>
      <c r="Q54" s="3">
        <v>72.353999999999999</v>
      </c>
      <c r="R54" s="59">
        <v>112.2847</v>
      </c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2:39" ht="15" customHeight="1" outlineLevel="1" x14ac:dyDescent="0.2">
      <c r="B55" s="43" t="s">
        <v>77</v>
      </c>
      <c r="C55" s="44">
        <v>4587.4780000000001</v>
      </c>
      <c r="D55" s="44">
        <v>8305.8829999999998</v>
      </c>
      <c r="E55" s="44">
        <v>11296.815000000001</v>
      </c>
      <c r="F55" s="44">
        <v>14603.353999999999</v>
      </c>
      <c r="G55" s="44">
        <v>3021.94</v>
      </c>
      <c r="H55" s="44">
        <v>5680.3469999999998</v>
      </c>
      <c r="I55" s="44">
        <v>8373.5879999999997</v>
      </c>
      <c r="J55" s="75">
        <v>11729.779</v>
      </c>
      <c r="K55" s="44">
        <v>3790.5909999999999</v>
      </c>
      <c r="L55" s="44">
        <v>7421.5420000000004</v>
      </c>
      <c r="M55" s="44">
        <v>11020.384</v>
      </c>
      <c r="N55" s="75">
        <v>16222.968000000001</v>
      </c>
      <c r="O55" s="44">
        <v>5295.826</v>
      </c>
      <c r="P55" s="44">
        <v>12995.146000000001</v>
      </c>
      <c r="Q55" s="44">
        <v>21218.111000000001</v>
      </c>
      <c r="R55" s="75">
        <v>30668.491899999997</v>
      </c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2:39" ht="15" customHeight="1" outlineLevel="1" x14ac:dyDescent="0.2">
      <c r="B56" s="42" t="s">
        <v>196</v>
      </c>
      <c r="C56" s="3">
        <v>808.57500000000005</v>
      </c>
      <c r="D56" s="3">
        <v>1083.232</v>
      </c>
      <c r="E56" s="3">
        <v>1407.6569999999999</v>
      </c>
      <c r="F56" s="59">
        <v>1451.404</v>
      </c>
      <c r="G56" s="3">
        <v>-46.23</v>
      </c>
      <c r="H56" s="3">
        <v>44.726999999999997</v>
      </c>
      <c r="I56" s="3">
        <v>-165.334</v>
      </c>
      <c r="J56" s="59">
        <v>-343.92399999999998</v>
      </c>
      <c r="K56" s="3">
        <v>108.807</v>
      </c>
      <c r="L56" s="3">
        <v>156.649</v>
      </c>
      <c r="M56" s="3">
        <v>268.74900000000002</v>
      </c>
      <c r="N56" s="59">
        <v>-1073</v>
      </c>
      <c r="O56" s="3">
        <v>-464</v>
      </c>
      <c r="P56" s="3">
        <v>-164</v>
      </c>
      <c r="Q56" s="3">
        <v>-345</v>
      </c>
      <c r="R56" s="59">
        <v>633.39290000000005</v>
      </c>
    </row>
    <row r="57" spans="2:39" ht="15" customHeight="1" outlineLevel="1" x14ac:dyDescent="0.2">
      <c r="B57" s="24" t="s">
        <v>197</v>
      </c>
      <c r="C57" s="3">
        <v>150.38499999999999</v>
      </c>
      <c r="D57" s="3">
        <v>314.87200000000001</v>
      </c>
      <c r="E57" s="3">
        <v>395.22699999999998</v>
      </c>
      <c r="F57" s="59">
        <v>457.57400000000001</v>
      </c>
      <c r="G57" s="3">
        <v>174.47800000000001</v>
      </c>
      <c r="H57" s="3">
        <v>280.892</v>
      </c>
      <c r="I57" s="3">
        <v>477.90199999999999</v>
      </c>
      <c r="J57" s="59">
        <v>735.76800000000003</v>
      </c>
      <c r="K57" s="3">
        <v>390.637</v>
      </c>
      <c r="L57" s="3">
        <v>703.80700000000002</v>
      </c>
      <c r="M57" s="3">
        <v>950.798</v>
      </c>
      <c r="N57" s="59">
        <v>1802</v>
      </c>
      <c r="O57" s="3">
        <v>535</v>
      </c>
      <c r="P57" s="3">
        <v>1283</v>
      </c>
      <c r="Q57" s="3">
        <v>2070</v>
      </c>
      <c r="R57" s="59">
        <v>2458.2882</v>
      </c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</row>
    <row r="58" spans="2:39" ht="15" customHeight="1" outlineLevel="1" x14ac:dyDescent="0.2">
      <c r="B58" s="24" t="s">
        <v>198</v>
      </c>
      <c r="C58" s="3">
        <v>-2.7970000000000002</v>
      </c>
      <c r="D58" s="3">
        <v>5.516</v>
      </c>
      <c r="E58" s="3">
        <v>-0.98499999999999999</v>
      </c>
      <c r="F58" s="59">
        <v>-7.9329999999999998</v>
      </c>
      <c r="G58" s="3">
        <v>-7.9269999999999996</v>
      </c>
      <c r="H58" s="3">
        <v>-6.0750000000000002</v>
      </c>
      <c r="I58" s="3">
        <v>-11.526</v>
      </c>
      <c r="J58" s="59">
        <v>-28.100999999999999</v>
      </c>
      <c r="K58" s="3">
        <v>-11.398999999999999</v>
      </c>
      <c r="L58" s="3">
        <v>-20.225000000000001</v>
      </c>
      <c r="M58" s="3">
        <v>-26.478000000000002</v>
      </c>
      <c r="N58" s="59">
        <v>-48</v>
      </c>
      <c r="O58" s="3">
        <v>1</v>
      </c>
      <c r="P58" s="3">
        <v>20</v>
      </c>
      <c r="Q58" s="3">
        <v>22</v>
      </c>
      <c r="R58" s="59">
        <v>30.6997</v>
      </c>
    </row>
    <row r="59" spans="2:39" ht="15" customHeight="1" outlineLevel="1" x14ac:dyDescent="0.2">
      <c r="B59" s="24" t="s">
        <v>199</v>
      </c>
      <c r="C59" s="3">
        <v>13.757</v>
      </c>
      <c r="D59" s="3">
        <v>45.43</v>
      </c>
      <c r="E59" s="3">
        <v>64.617999999999995</v>
      </c>
      <c r="F59" s="59">
        <v>103.712</v>
      </c>
      <c r="G59" s="3">
        <v>25.042999999999999</v>
      </c>
      <c r="H59" s="3">
        <v>74.86</v>
      </c>
      <c r="I59" s="3">
        <v>133.755</v>
      </c>
      <c r="J59" s="59">
        <v>175.828</v>
      </c>
      <c r="K59" s="3">
        <v>39.512999999999998</v>
      </c>
      <c r="L59" s="3">
        <v>76.346999999999994</v>
      </c>
      <c r="M59" s="3">
        <v>109.102</v>
      </c>
      <c r="N59" s="59">
        <v>169</v>
      </c>
      <c r="O59" s="3">
        <v>66</v>
      </c>
      <c r="P59" s="3">
        <v>152</v>
      </c>
      <c r="Q59" s="3">
        <v>264</v>
      </c>
      <c r="R59" s="59">
        <v>350.14090000000004</v>
      </c>
    </row>
    <row r="60" spans="2:39" ht="15" customHeight="1" outlineLevel="1" x14ac:dyDescent="0.2">
      <c r="B60" s="24" t="s">
        <v>200</v>
      </c>
      <c r="C60" s="13">
        <v>-27.283999999999999</v>
      </c>
      <c r="D60" s="13">
        <v>-51.692</v>
      </c>
      <c r="E60" s="3">
        <v>-67.325999999999993</v>
      </c>
      <c r="F60" s="59">
        <v>-83.709000000000003</v>
      </c>
      <c r="G60" s="3">
        <v>-21.72</v>
      </c>
      <c r="H60" s="3">
        <v>-45.53</v>
      </c>
      <c r="I60" s="3">
        <v>-57.959000000000003</v>
      </c>
      <c r="J60" s="59">
        <v>-80.819000000000003</v>
      </c>
      <c r="K60" s="3">
        <v>-11.43</v>
      </c>
      <c r="L60" s="3">
        <v>-90.025999999999996</v>
      </c>
      <c r="M60" s="3">
        <v>-85.554000000000002</v>
      </c>
      <c r="N60" s="59">
        <v>-122</v>
      </c>
      <c r="O60" s="3">
        <v>-11</v>
      </c>
      <c r="P60" s="3">
        <v>-26</v>
      </c>
      <c r="Q60" s="3">
        <v>-41</v>
      </c>
      <c r="R60" s="59">
        <v>-62.738699999999994</v>
      </c>
    </row>
    <row r="61" spans="2:39" ht="15" customHeight="1" outlineLevel="1" x14ac:dyDescent="0.2">
      <c r="B61" s="43" t="s">
        <v>78</v>
      </c>
      <c r="C61" s="44">
        <v>942.63599999999997</v>
      </c>
      <c r="D61" s="44">
        <v>1397.3579999999999</v>
      </c>
      <c r="E61" s="44">
        <v>1799.191</v>
      </c>
      <c r="F61" s="44">
        <v>1921.048</v>
      </c>
      <c r="G61" s="44">
        <v>123.64400000000001</v>
      </c>
      <c r="H61" s="44">
        <v>348.87400000000002</v>
      </c>
      <c r="I61" s="44">
        <v>376.83800000000002</v>
      </c>
      <c r="J61" s="44">
        <v>458.75799999999879</v>
      </c>
      <c r="K61" s="44">
        <v>516.12800000000004</v>
      </c>
      <c r="L61" s="44">
        <v>826.55200000000002</v>
      </c>
      <c r="M61" s="44">
        <v>1216.617</v>
      </c>
      <c r="N61" s="44">
        <v>728</v>
      </c>
      <c r="O61" s="44">
        <v>127</v>
      </c>
      <c r="P61" s="44">
        <v>1264</v>
      </c>
      <c r="Q61" s="44">
        <v>1970</v>
      </c>
      <c r="R61" s="44">
        <v>3409.7829999999999</v>
      </c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</row>
    <row r="62" spans="2:39" ht="15" customHeight="1" outlineLevel="1" x14ac:dyDescent="0.2">
      <c r="B62" s="42" t="s">
        <v>196</v>
      </c>
      <c r="C62" s="13">
        <v>633.46900000000005</v>
      </c>
      <c r="D62" s="13">
        <v>861.904</v>
      </c>
      <c r="E62" s="3">
        <v>1066.9749999999999</v>
      </c>
      <c r="F62" s="3">
        <v>990.73699999999997</v>
      </c>
      <c r="G62" s="3">
        <v>-90.34</v>
      </c>
      <c r="H62" s="3">
        <v>-107.742</v>
      </c>
      <c r="I62" s="3">
        <v>-377.911</v>
      </c>
      <c r="J62" s="59">
        <v>-666.65200000000004</v>
      </c>
      <c r="K62" s="3">
        <v>11.666</v>
      </c>
      <c r="L62" s="3">
        <v>-50.683</v>
      </c>
      <c r="M62" s="3">
        <v>-13.166</v>
      </c>
      <c r="N62" s="59">
        <v>-1679.079</v>
      </c>
      <c r="O62" s="3">
        <v>-641.32299999999998</v>
      </c>
      <c r="P62" s="3">
        <v>-432.54700000000003</v>
      </c>
      <c r="Q62" s="3">
        <v>-711.79399999999998</v>
      </c>
      <c r="R62" s="59">
        <v>53.6053</v>
      </c>
    </row>
    <row r="63" spans="2:39" ht="15" customHeight="1" outlineLevel="1" x14ac:dyDescent="0.2">
      <c r="B63" s="24" t="s">
        <v>197</v>
      </c>
      <c r="C63" s="3">
        <v>105.69799999999999</v>
      </c>
      <c r="D63" s="3">
        <v>235.893</v>
      </c>
      <c r="E63" s="3">
        <v>292.94499999999999</v>
      </c>
      <c r="F63" s="3">
        <v>323.363</v>
      </c>
      <c r="G63" s="3">
        <v>89.326999999999998</v>
      </c>
      <c r="H63" s="3">
        <v>134.59399999999999</v>
      </c>
      <c r="I63" s="3">
        <v>257.05</v>
      </c>
      <c r="J63" s="59">
        <v>450.57</v>
      </c>
      <c r="K63" s="3">
        <v>310.35599999999999</v>
      </c>
      <c r="L63" s="3">
        <v>534.43200000000002</v>
      </c>
      <c r="M63" s="3">
        <v>831.90300000000002</v>
      </c>
      <c r="N63" s="59">
        <v>1665.45</v>
      </c>
      <c r="O63" s="3">
        <v>332.86</v>
      </c>
      <c r="P63" s="3">
        <v>761.245</v>
      </c>
      <c r="Q63" s="3">
        <v>1450.9110000000001</v>
      </c>
      <c r="R63" s="59">
        <v>2346.0504000000001</v>
      </c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</row>
    <row r="64" spans="2:39" ht="15" customHeight="1" outlineLevel="1" x14ac:dyDescent="0.2">
      <c r="B64" s="24" t="s">
        <v>198</v>
      </c>
      <c r="C64" s="3">
        <v>-2.2589999999999999</v>
      </c>
      <c r="D64" s="3">
        <v>-2.7240000000000002</v>
      </c>
      <c r="E64" s="3">
        <v>-10.499000000000001</v>
      </c>
      <c r="F64" s="3">
        <v>-19.419</v>
      </c>
      <c r="G64" s="3">
        <v>-14.88</v>
      </c>
      <c r="H64" s="3">
        <v>-18.693999999999999</v>
      </c>
      <c r="I64" s="3">
        <v>-36.795999999999999</v>
      </c>
      <c r="J64" s="59">
        <v>-66.162000000000006</v>
      </c>
      <c r="K64" s="3">
        <v>-30.324000000000002</v>
      </c>
      <c r="L64" s="3">
        <v>-53.088000000000001</v>
      </c>
      <c r="M64" s="3">
        <v>-70.902000000000001</v>
      </c>
      <c r="N64" s="59">
        <v>-113.473</v>
      </c>
      <c r="O64" s="3">
        <v>-19.952000000000002</v>
      </c>
      <c r="P64" s="3">
        <v>0.192</v>
      </c>
      <c r="Q64" s="3">
        <v>-14.331</v>
      </c>
      <c r="R64" s="59">
        <v>-15.998700000000001</v>
      </c>
    </row>
    <row r="65" spans="1:18" ht="15" customHeight="1" outlineLevel="1" x14ac:dyDescent="0.2">
      <c r="B65" s="24" t="s">
        <v>199</v>
      </c>
      <c r="C65" s="3">
        <v>12.826000000000001</v>
      </c>
      <c r="D65" s="3">
        <v>37.670999999999999</v>
      </c>
      <c r="E65" s="3">
        <v>50.703000000000003</v>
      </c>
      <c r="F65" s="3">
        <v>79.512</v>
      </c>
      <c r="G65" s="3">
        <v>18.044</v>
      </c>
      <c r="H65" s="3">
        <v>54.655999999999999</v>
      </c>
      <c r="I65" s="3">
        <v>103.715</v>
      </c>
      <c r="J65" s="59">
        <v>131.721</v>
      </c>
      <c r="K65" s="3">
        <v>32.026000000000003</v>
      </c>
      <c r="L65" s="3">
        <v>53.728000000000002</v>
      </c>
      <c r="M65" s="3">
        <v>75.022000000000006</v>
      </c>
      <c r="N65" s="59">
        <v>132.87299999999999</v>
      </c>
      <c r="O65" s="3">
        <v>59.715000000000003</v>
      </c>
      <c r="P65" s="3">
        <v>133.28399999999999</v>
      </c>
      <c r="Q65" s="3">
        <v>240.154</v>
      </c>
      <c r="R65" s="59">
        <v>363.1472</v>
      </c>
    </row>
    <row r="66" spans="1:18" ht="15" customHeight="1" outlineLevel="1" x14ac:dyDescent="0.2">
      <c r="B66" s="24" t="s">
        <v>200</v>
      </c>
      <c r="C66" s="3">
        <v>31.170999999999999</v>
      </c>
      <c r="D66" s="3">
        <v>46.616999999999997</v>
      </c>
      <c r="E66" s="3">
        <v>36.225000000000001</v>
      </c>
      <c r="F66" s="3">
        <v>40.665999999999997</v>
      </c>
      <c r="G66" s="3">
        <v>44.207999999999998</v>
      </c>
      <c r="H66" s="3">
        <v>78.608000000000004</v>
      </c>
      <c r="I66" s="3">
        <v>181.90199999999999</v>
      </c>
      <c r="J66" s="59">
        <v>83.125</v>
      </c>
      <c r="K66" s="3">
        <v>85.653999999999996</v>
      </c>
      <c r="L66" s="3">
        <v>240.59800000000001</v>
      </c>
      <c r="M66" s="3">
        <v>376.31200000000001</v>
      </c>
      <c r="N66" s="59">
        <v>823.61900000000003</v>
      </c>
      <c r="O66" s="3">
        <v>367.75099999999998</v>
      </c>
      <c r="P66" s="3">
        <v>603.98800000000006</v>
      </c>
      <c r="Q66" s="3">
        <v>829.82799999999997</v>
      </c>
      <c r="R66" s="59">
        <v>701.58600000000001</v>
      </c>
    </row>
    <row r="67" spans="1:18" ht="15" customHeight="1" outlineLevel="1" x14ac:dyDescent="0.2">
      <c r="A67" s="55" t="s">
        <v>164</v>
      </c>
      <c r="B67" s="43" t="s">
        <v>79</v>
      </c>
      <c r="C67" s="44">
        <v>780.90499999999997</v>
      </c>
      <c r="D67" s="44">
        <v>1179.3610000000001</v>
      </c>
      <c r="E67" s="44">
        <v>1436.3489999999999</v>
      </c>
      <c r="F67" s="44">
        <v>1414.8589999999999</v>
      </c>
      <c r="G67" s="44">
        <v>46.359000000000002</v>
      </c>
      <c r="H67" s="44">
        <v>141.422</v>
      </c>
      <c r="I67" s="44">
        <v>127.96</v>
      </c>
      <c r="J67" s="44">
        <v>-67.397999999999996</v>
      </c>
      <c r="K67" s="44">
        <v>409.37799999999999</v>
      </c>
      <c r="L67" s="44">
        <v>724.98699999999997</v>
      </c>
      <c r="M67" s="44">
        <v>1199.1690000000001</v>
      </c>
      <c r="N67" s="44">
        <v>829.39</v>
      </c>
      <c r="O67" s="44">
        <v>99.051000000000002</v>
      </c>
      <c r="P67" s="44">
        <v>1066.162</v>
      </c>
      <c r="Q67" s="44">
        <v>1794.768</v>
      </c>
      <c r="R67" s="44">
        <v>3448.3901999999998</v>
      </c>
    </row>
    <row r="68" spans="1:18" ht="15" customHeight="1" x14ac:dyDescent="0.2">
      <c r="B68" s="52"/>
      <c r="C68" s="13"/>
      <c r="D68" s="13"/>
      <c r="E68" s="13"/>
      <c r="F68" s="13"/>
    </row>
    <row r="69" spans="1:18" ht="15" customHeight="1" x14ac:dyDescent="0.2">
      <c r="B69" s="52"/>
      <c r="C69" s="13"/>
      <c r="D69" s="13"/>
      <c r="E69" s="13"/>
      <c r="F69" s="13"/>
    </row>
    <row r="70" spans="1:18" ht="20.100000000000001" customHeight="1" outlineLevel="1" x14ac:dyDescent="0.2">
      <c r="B70" s="32" t="s">
        <v>218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15" customHeight="1" outlineLevel="1" x14ac:dyDescent="0.2">
      <c r="B71" s="42" t="s">
        <v>196</v>
      </c>
      <c r="C71" s="90">
        <f>IFERROR(C56/C50,"a.d.")</f>
        <v>0.24318871588718655</v>
      </c>
      <c r="D71" s="90">
        <f>IFERROR(D56/D50,"a.d.")</f>
        <v>0.1815582372074111</v>
      </c>
      <c r="E71" s="90">
        <f>IFERROR(E56/E50,"a.d.")</f>
        <v>0.1712377484388691</v>
      </c>
      <c r="F71" s="90">
        <f>IFERROR(F56/F50,"a.d.")</f>
        <v>0.13772404292302107</v>
      </c>
      <c r="G71" s="90">
        <f>IFERROR(G56/G50,"a.d.")</f>
        <v>-2.5867553426317757E-2</v>
      </c>
      <c r="H71" s="90">
        <f>IFERROR(H56/H50,"a.d.")</f>
        <v>1.2395725363471588E-2</v>
      </c>
      <c r="I71" s="90">
        <f>IFERROR(I56/I50,"a.d.")</f>
        <v>-3.269975829306368E-2</v>
      </c>
      <c r="J71" s="90">
        <f>IFERROR(J56/J50,"a.d.")</f>
        <v>-4.8388837323691695E-2</v>
      </c>
      <c r="K71" s="90">
        <f>IFERROR(K56/K50,"a.d.")</f>
        <v>5.1936689048603026E-2</v>
      </c>
      <c r="L71" s="90">
        <f>IFERROR(L56/L50,"a.d.")</f>
        <v>3.9068037427742994E-2</v>
      </c>
      <c r="M71" s="90">
        <f>IFERROR(M56/M50,"a.d.")</f>
        <v>4.4951407138995793E-2</v>
      </c>
      <c r="N71" s="90">
        <f>IFERROR(N56/N50,"a.d.")</f>
        <v>-0.13089474671683526</v>
      </c>
      <c r="O71" s="90">
        <f>IFERROR(O56/O50,"a.d.")</f>
        <v>-0.2362347440213263</v>
      </c>
      <c r="P71" s="90">
        <f>IFERROR(P56/P50,"a.d.")</f>
        <v>-3.316367283632312E-2</v>
      </c>
      <c r="Q71" s="90">
        <f>IFERROR(Q56/Q50,"a.d.")</f>
        <v>-4.5459804177611057E-2</v>
      </c>
      <c r="R71" s="90">
        <f>IFERROR(R56/R50,"a.d.")</f>
        <v>5.8024585000932868E-2</v>
      </c>
    </row>
    <row r="72" spans="1:18" ht="15" customHeight="1" outlineLevel="1" x14ac:dyDescent="0.2">
      <c r="B72" s="24" t="s">
        <v>197</v>
      </c>
      <c r="C72" s="90">
        <f>IFERROR(C57/C51,"a.d.")</f>
        <v>0.12838177582340282</v>
      </c>
      <c r="D72" s="90">
        <f>IFERROR(D57/D51,"a.d.")</f>
        <v>0.15276379569069787</v>
      </c>
      <c r="E72" s="90">
        <f>IFERROR(E57/E51,"a.d.")</f>
        <v>0.15011660589486475</v>
      </c>
      <c r="F72" s="90">
        <f>IFERROR(F57/F51,"a.d.")</f>
        <v>0.13303785775944657</v>
      </c>
      <c r="G72" s="90">
        <f>IFERROR(G57/G51,"a.d.")</f>
        <v>0.15654541017377388</v>
      </c>
      <c r="H72" s="90">
        <f>IFERROR(H57/H51,"a.d.")</f>
        <v>0.15811957873357751</v>
      </c>
      <c r="I72" s="90">
        <f>IFERROR(I57/I51,"a.d.")</f>
        <v>0.171170913029494</v>
      </c>
      <c r="J72" s="90">
        <f>IFERROR(J57/J51,"a.d.")</f>
        <v>0.18925013510187108</v>
      </c>
      <c r="K72" s="90">
        <f>IFERROR(K57/K51,"a.d.")</f>
        <v>0.25029714364067757</v>
      </c>
      <c r="L72" s="90">
        <f>IFERROR(L57/L51,"a.d.")</f>
        <v>0.22818833942596842</v>
      </c>
      <c r="M72" s="90">
        <f>IFERROR(M57/M51,"a.d.")</f>
        <v>0.21200246875922552</v>
      </c>
      <c r="N72" s="90">
        <f>IFERROR(N57/N51,"a.d.")</f>
        <v>0.25028010677321583</v>
      </c>
      <c r="O72" s="90">
        <f>IFERROR(O57/O51,"a.d.")</f>
        <v>0.17578076229052519</v>
      </c>
      <c r="P72" s="90">
        <f>IFERROR(P57/P51,"a.d.")</f>
        <v>0.17498127782157993</v>
      </c>
      <c r="Q72" s="90">
        <f>IFERROR(Q57/Q51,"a.d.")</f>
        <v>0.1676761527087475</v>
      </c>
      <c r="R72" s="90">
        <f>IFERROR(R57/R51,"a.d.")</f>
        <v>0.13753230623253776</v>
      </c>
    </row>
    <row r="73" spans="1:18" ht="15" customHeight="1" outlineLevel="1" x14ac:dyDescent="0.2">
      <c r="B73" s="24" t="s">
        <v>198</v>
      </c>
      <c r="C73" s="90">
        <f>IFERROR(C58/C52,"a.d.")</f>
        <v>-0.64940794056187601</v>
      </c>
      <c r="D73" s="90">
        <f>IFERROR(D58/D52,"a.d.")</f>
        <v>6.860099245090602E-2</v>
      </c>
      <c r="E73" s="90">
        <f>IFERROR(E58/E52,"a.d.")</f>
        <v>-6.7332011757468046E-3</v>
      </c>
      <c r="F73" s="90">
        <f>IFERROR(F58/F52,"a.d.")</f>
        <v>-3.8578813505745727E-2</v>
      </c>
      <c r="G73" s="90">
        <f>IFERROR(G58/G52,"a.d.")</f>
        <v>-0.70581426409046388</v>
      </c>
      <c r="H73" s="90">
        <f>IFERROR(H58/H52,"a.d.")</f>
        <v>-0.10355937404111691</v>
      </c>
      <c r="I73" s="90">
        <f>IFERROR(I58/I52,"a.d.")</f>
        <v>-8.7364511483362384E-2</v>
      </c>
      <c r="J73" s="90">
        <f>IFERROR(J58/J52,"a.d.")</f>
        <v>-0.14009242780012862</v>
      </c>
      <c r="K73" s="90">
        <f>IFERROR(K58/K52,"a.d.")</f>
        <v>-2.1679345758843667</v>
      </c>
      <c r="L73" s="90">
        <f>IFERROR(L58/L52,"a.d.")</f>
        <v>-0.34760415234428715</v>
      </c>
      <c r="M73" s="90">
        <f>IFERROR(M58/M52,"a.d.")</f>
        <v>-0.2419319469317642</v>
      </c>
      <c r="N73" s="90">
        <f>IFERROR(N58/N52,"a.d.")</f>
        <v>-0.26120458849393785</v>
      </c>
      <c r="O73" s="90">
        <f>IFERROR(O58/O52,"a.d.")</f>
        <v>4.8702089319631811E-2</v>
      </c>
      <c r="P73" s="90">
        <f>IFERROR(P58/P52,"a.d.")</f>
        <v>0.25460517103102365</v>
      </c>
      <c r="Q73" s="90">
        <f>IFERROR(Q58/Q52,"a.d.")</f>
        <v>0.1513515000997544</v>
      </c>
      <c r="R73" s="90">
        <f>IFERROR(R58/R52,"a.d.")</f>
        <v>0.11564626362859333</v>
      </c>
    </row>
    <row r="74" spans="1:18" ht="15" customHeight="1" outlineLevel="1" x14ac:dyDescent="0.2">
      <c r="B74" s="24" t="s">
        <v>199</v>
      </c>
      <c r="C74" s="90">
        <f>IFERROR(C59/C53,"a.d.")</f>
        <v>0.17982066297187074</v>
      </c>
      <c r="D74" s="90">
        <f>IFERROR(D59/D53,"a.d.")</f>
        <v>0.25642617658015648</v>
      </c>
      <c r="E74" s="90">
        <f>IFERROR(E59/E53,"a.d.")</f>
        <v>0.24321191180566534</v>
      </c>
      <c r="F74" s="90">
        <f>IFERROR(F59/F53,"a.d.")</f>
        <v>0.27477089620054629</v>
      </c>
      <c r="G74" s="90">
        <f>IFERROR(G59/G53,"a.d.")</f>
        <v>0.25653291812212536</v>
      </c>
      <c r="H74" s="90">
        <f>IFERROR(H59/H53,"a.d.")</f>
        <v>0.3505600719289701</v>
      </c>
      <c r="I74" s="90">
        <f>IFERROR(I59/I53,"a.d.")</f>
        <v>0.37377706114624409</v>
      </c>
      <c r="J74" s="90">
        <f>IFERROR(J59/J53,"a.d.")</f>
        <v>0.36160446195737117</v>
      </c>
      <c r="K74" s="90">
        <f>IFERROR(K59/K53,"a.d.")</f>
        <v>0.33435722989439476</v>
      </c>
      <c r="L74" s="90">
        <f>IFERROR(L59/L53,"a.d.")</f>
        <v>0.31065800235189761</v>
      </c>
      <c r="M74" s="90">
        <f>IFERROR(M59/M53,"a.d.")</f>
        <v>0.28150196996163285</v>
      </c>
      <c r="N74" s="90">
        <f>IFERROR(N59/N53,"a.d.")</f>
        <v>0.30050053787818171</v>
      </c>
      <c r="O74" s="90">
        <f>IFERROR(O59/O53,"a.d.")</f>
        <v>0.26895851926109759</v>
      </c>
      <c r="P74" s="90">
        <f>IFERROR(P59/P53,"a.d.")</f>
        <v>0.25716900910412127</v>
      </c>
      <c r="Q74" s="90">
        <f>IFERROR(Q59/Q53,"a.d.")</f>
        <v>0.24764270410824241</v>
      </c>
      <c r="R74" s="90">
        <f>IFERROR(R59/R53,"a.d.")</f>
        <v>0.23334256331618292</v>
      </c>
    </row>
    <row r="75" spans="1:18" ht="15" customHeight="1" outlineLevel="1" x14ac:dyDescent="0.2">
      <c r="B75" s="24" t="s">
        <v>200</v>
      </c>
      <c r="C75" s="90">
        <f>IFERROR(C60/C54,"a.d.")</f>
        <v>-2.625733808103166</v>
      </c>
      <c r="D75" s="90">
        <f>IFERROR(D60/D54,"a.d.")</f>
        <v>-2.4810175185985122</v>
      </c>
      <c r="E75" s="90">
        <f>IFERROR(E60/E54,"a.d.")</f>
        <v>-2.1335403726708071</v>
      </c>
      <c r="F75" s="90">
        <f>IFERROR(F60/F54,"a.d.")</f>
        <v>-1.9764597549170071</v>
      </c>
      <c r="G75" s="90">
        <f>IFERROR(G60/G54,"a.d.")</f>
        <v>-1.9128137384412152</v>
      </c>
      <c r="H75" s="90">
        <f>IFERROR(H60/H54,"a.d.")</f>
        <v>-1.943401058562404</v>
      </c>
      <c r="I75" s="90">
        <f>IFERROR(I60/I54,"a.d.")</f>
        <v>-1.6221382591659672</v>
      </c>
      <c r="J75" s="90">
        <f>IFERROR(J60/J54,"a.d.")</f>
        <v>-1.6967374874034264</v>
      </c>
      <c r="K75" s="90">
        <f>IFERROR(K60/K54,"a.d.")</f>
        <v>-0.99642576933135729</v>
      </c>
      <c r="L75" s="90">
        <f>IFERROR(L60/L54,"a.d.")</f>
        <v>-3.8101405112578295</v>
      </c>
      <c r="M75" s="90">
        <f>IFERROR(M60/M54,"a.d.")</f>
        <v>-1.4290200270590789</v>
      </c>
      <c r="N75" s="90">
        <f>IFERROR(N60/N54,"a.d.")</f>
        <v>-1.5355569540591567</v>
      </c>
      <c r="O75" s="90">
        <f>IFERROR(O60/O54,"a.d.")</f>
        <v>-0.4957187922487607</v>
      </c>
      <c r="P75" s="90">
        <f>IFERROR(P60/P54,"a.d.")</f>
        <v>-0.53987831973255263</v>
      </c>
      <c r="Q75" s="90">
        <f>IFERROR(Q60/Q54,"a.d.")</f>
        <v>-0.56665837410509445</v>
      </c>
      <c r="R75" s="90">
        <f>IFERROR(R60/R54,"a.d.")</f>
        <v>-0.55874665025600101</v>
      </c>
    </row>
    <row r="76" spans="1:18" ht="15" customHeight="1" outlineLevel="1" x14ac:dyDescent="0.2">
      <c r="B76" s="43" t="s">
        <v>216</v>
      </c>
      <c r="C76" s="91">
        <f>IFERROR(C61/C55,"a.d.")</f>
        <v>0.20548022246646194</v>
      </c>
      <c r="D76" s="91">
        <f>IFERROR(D61/D55,"a.d.")</f>
        <v>0.16823713986821148</v>
      </c>
      <c r="E76" s="91">
        <f>IFERROR(E61/E55,"a.d.")</f>
        <v>0.15926533275086827</v>
      </c>
      <c r="F76" s="91">
        <f>IFERROR(F61/F55,"a.d.")</f>
        <v>0.13154841004333662</v>
      </c>
      <c r="G76" s="91">
        <f>IFERROR(G61/G55,"a.d.")</f>
        <v>4.0915438426970756E-2</v>
      </c>
      <c r="H76" s="91">
        <f>IFERROR(H61/H55,"a.d.")</f>
        <v>6.141772676915689E-2</v>
      </c>
      <c r="I76" s="91">
        <f>IFERROR(I61/I55,"a.d.")</f>
        <v>4.5003169489590371E-2</v>
      </c>
      <c r="J76" s="91">
        <f>IFERROR(J61/J55,"a.d.")</f>
        <v>3.9110540786829726E-2</v>
      </c>
      <c r="K76" s="91">
        <f>IFERROR(K61/K55,"a.d.")</f>
        <v>0.13616029795881435</v>
      </c>
      <c r="L76" s="91">
        <f>IFERROR(L61/L55,"a.d.")</f>
        <v>0.11137200328449262</v>
      </c>
      <c r="M76" s="91">
        <f>IFERROR(M61/M55,"a.d.")</f>
        <v>0.11039696983335608</v>
      </c>
      <c r="N76" s="91">
        <f>IFERROR(N61/N55,"a.d.")</f>
        <v>4.4874649324340647E-2</v>
      </c>
      <c r="O76" s="91">
        <f>IFERROR(O61/O55,"a.d.")</f>
        <v>2.398115043809974E-2</v>
      </c>
      <c r="P76" s="91">
        <f>IFERROR(P61/P55,"a.d.")</f>
        <v>9.7267087264737151E-2</v>
      </c>
      <c r="Q76" s="91">
        <f>IFERROR(Q61/Q55,"a.d.")</f>
        <v>9.2845211338558831E-2</v>
      </c>
      <c r="R76" s="91">
        <f>IFERROR(R61/R55,"a.d.")</f>
        <v>0.11118195870596428</v>
      </c>
    </row>
    <row r="77" spans="1:18" ht="15" customHeight="1" outlineLevel="1" x14ac:dyDescent="0.2">
      <c r="B77" s="42" t="s">
        <v>196</v>
      </c>
      <c r="C77" s="90">
        <f>IFERROR(C62/C50,"a.d.")</f>
        <v>0.19052346741408055</v>
      </c>
      <c r="D77" s="90">
        <f>IFERROR(D62/D50,"a.d.")</f>
        <v>0.14446191663652519</v>
      </c>
      <c r="E77" s="90">
        <f>IFERROR(E62/E50,"a.d.")</f>
        <v>0.12979468481353224</v>
      </c>
      <c r="F77" s="90">
        <f>IFERROR(F62/F50,"a.d.")</f>
        <v>9.401125056388511E-2</v>
      </c>
      <c r="G77" s="90">
        <f>IFERROR(G62/G50,"a.d.")</f>
        <v>-5.0548881170961422E-2</v>
      </c>
      <c r="H77" s="90">
        <f>IFERROR(H62/H50,"a.d.")</f>
        <v>-2.9859821631478885E-2</v>
      </c>
      <c r="I77" s="90">
        <f>IFERROR(I62/I50,"a.d.")</f>
        <v>-7.4743237061281942E-2</v>
      </c>
      <c r="J77" s="90">
        <f>IFERROR(J62/J50,"a.d.")</f>
        <v>-9.3795475685074958E-2</v>
      </c>
      <c r="K77" s="90">
        <f>IFERROR(K62/K50,"a.d.")</f>
        <v>5.5685150260645268E-3</v>
      </c>
      <c r="L77" s="90">
        <f>IFERROR(L62/L50,"a.d.")</f>
        <v>-1.2640267993733112E-2</v>
      </c>
      <c r="M77" s="90">
        <f>IFERROR(M62/M50,"a.d.")</f>
        <v>-2.2021671760342125E-3</v>
      </c>
      <c r="N77" s="90">
        <f>IFERROR(N62/N50,"a.d.")</f>
        <v>-0.20483002835280245</v>
      </c>
      <c r="O77" s="90">
        <f>IFERROR(O62/O50,"a.d.")</f>
        <v>-0.32651460073273503</v>
      </c>
      <c r="P77" s="90">
        <f>IFERROR(P62/P50,"a.d.")</f>
        <v>-8.7468580453250344E-2</v>
      </c>
      <c r="Q77" s="90">
        <f>IFERROR(Q62/Q50,"a.d.")</f>
        <v>-9.3791350303763718E-2</v>
      </c>
      <c r="R77" s="90">
        <f>IFERROR(R62/R50,"a.d.")</f>
        <v>4.91073595291407E-3</v>
      </c>
    </row>
    <row r="78" spans="1:18" ht="15" customHeight="1" outlineLevel="1" x14ac:dyDescent="0.2">
      <c r="B78" s="24" t="s">
        <v>197</v>
      </c>
      <c r="C78" s="90">
        <f>IFERROR(C63/C51,"a.d.")</f>
        <v>9.0233048116381498E-2</v>
      </c>
      <c r="D78" s="90">
        <f>IFERROR(D63/D51,"a.d.")</f>
        <v>0.11444621959674341</v>
      </c>
      <c r="E78" s="90">
        <f>IFERROR(E63/E51,"a.d.")</f>
        <v>0.11126747189304162</v>
      </c>
      <c r="F78" s="90">
        <f>IFERROR(F63/F51,"a.d.")</f>
        <v>9.4016532404961634E-2</v>
      </c>
      <c r="G78" s="90">
        <f>IFERROR(G63/G51,"a.d.")</f>
        <v>8.014610354653709E-2</v>
      </c>
      <c r="H78" s="90">
        <f>IFERROR(H63/H51,"a.d.")</f>
        <v>7.576558456654918E-2</v>
      </c>
      <c r="I78" s="90">
        <f>IFERROR(I63/I51,"a.d.")</f>
        <v>9.2068003888310643E-2</v>
      </c>
      <c r="J78" s="90">
        <f>IFERROR(J63/J51,"a.d.")</f>
        <v>0.11589309860288848</v>
      </c>
      <c r="K78" s="90">
        <f>IFERROR(K63/K51,"a.d.")</f>
        <v>0.19885781508599065</v>
      </c>
      <c r="L78" s="90">
        <f>IFERROR(L63/L51,"a.d.")</f>
        <v>0.17327356877112499</v>
      </c>
      <c r="M78" s="90">
        <f>IFERROR(M63/M51,"a.d.")</f>
        <v>0.18549207062720577</v>
      </c>
      <c r="N78" s="90">
        <f>IFERROR(N63/N51,"a.d.")</f>
        <v>0.23131465251134978</v>
      </c>
      <c r="O78" s="90">
        <f>IFERROR(O63/O51,"a.d.")</f>
        <v>0.10936520474023219</v>
      </c>
      <c r="P78" s="90">
        <f>IFERROR(P63/P51,"a.d.")</f>
        <v>0.10382199753335045</v>
      </c>
      <c r="Q78" s="90">
        <f>IFERROR(Q63/Q51,"a.d.")</f>
        <v>0.11752810357623263</v>
      </c>
      <c r="R78" s="90">
        <f>IFERROR(R63/R51,"a.d.")</f>
        <v>0.13125300851615676</v>
      </c>
    </row>
    <row r="79" spans="1:18" ht="15" customHeight="1" outlineLevel="1" x14ac:dyDescent="0.2">
      <c r="B79" s="24" t="s">
        <v>198</v>
      </c>
      <c r="C79" s="90">
        <f>IFERROR(C64/C52,"a.d.")</f>
        <v>-0.52449500812630589</v>
      </c>
      <c r="D79" s="90">
        <f>IFERROR(D64/D52,"a.d.")</f>
        <v>-3.3877647468503989E-2</v>
      </c>
      <c r="E79" s="90">
        <f>IFERROR(E64/E52,"a.d.")</f>
        <v>-7.1768405222503259E-2</v>
      </c>
      <c r="F79" s="90">
        <f>IFERROR(F64/F52,"a.d.")</f>
        <v>-9.44361501913622E-2</v>
      </c>
      <c r="G79" s="90">
        <f>IFERROR(G64/G52,"a.d.")</f>
        <v>-1.3249042827887099</v>
      </c>
      <c r="H79" s="90">
        <f>IFERROR(H64/H52,"a.d.")</f>
        <v>-0.31867307626743036</v>
      </c>
      <c r="I79" s="90">
        <f>IFERROR(I64/I52,"a.d.")</f>
        <v>-0.27890548017888273</v>
      </c>
      <c r="J79" s="90">
        <f>IFERROR(J64/J52,"a.d.")</f>
        <v>-0.32983862524864277</v>
      </c>
      <c r="K79" s="90">
        <f>IFERROR(K64/K52,"a.d.")</f>
        <v>-5.7672118676302784</v>
      </c>
      <c r="L79" s="90">
        <f>IFERROR(L64/L52,"a.d.")</f>
        <v>-0.9124157844080848</v>
      </c>
      <c r="M79" s="90">
        <f>IFERROR(M64/M52,"a.d.")</f>
        <v>-0.6478381638098023</v>
      </c>
      <c r="N79" s="90">
        <f>IFERROR(N64/N52,"a.d.")</f>
        <v>-0.61749308896192934</v>
      </c>
      <c r="O79" s="90">
        <f>IFERROR(O64/O52,"a.d.")</f>
        <v>-0.97170408610529391</v>
      </c>
      <c r="P79" s="90">
        <f>IFERROR(P64/P52,"a.d.")</f>
        <v>2.4442096418978271E-3</v>
      </c>
      <c r="Q79" s="90">
        <f>IFERROR(Q64/Q52,"a.d.")</f>
        <v>-9.8591743087708197E-2</v>
      </c>
      <c r="R79" s="90">
        <f>IFERROR(R64/R52,"a.d.")</f>
        <v>-6.0267360199440914E-2</v>
      </c>
    </row>
    <row r="80" spans="1:18" ht="15" customHeight="1" outlineLevel="1" x14ac:dyDescent="0.2">
      <c r="B80" s="24" t="s">
        <v>199</v>
      </c>
      <c r="C80" s="90">
        <f>IFERROR(C65/C53,"a.d.")</f>
        <v>0.1676513646345289</v>
      </c>
      <c r="D80" s="90">
        <f>IFERROR(D65/D53,"a.d.")</f>
        <v>0.21263109174446565</v>
      </c>
      <c r="E80" s="90">
        <f>IFERROR(E65/E53,"a.d.")</f>
        <v>0.19083805695445002</v>
      </c>
      <c r="F80" s="90">
        <f>IFERROR(F65/F53,"a.d.")</f>
        <v>0.21065627409265886</v>
      </c>
      <c r="G80" s="90">
        <f>IFERROR(G65/G53,"a.d.")</f>
        <v>0.18483727886417883</v>
      </c>
      <c r="H80" s="90">
        <f>IFERROR(H65/H53,"a.d.")</f>
        <v>0.2559472520885625</v>
      </c>
      <c r="I80" s="90">
        <f>IFERROR(I65/I53,"a.d.")</f>
        <v>0.28983057004809321</v>
      </c>
      <c r="J80" s="90">
        <f>IFERROR(J65/J53,"a.d.")</f>
        <v>0.27089485937101537</v>
      </c>
      <c r="K80" s="90">
        <f>IFERROR(K65/K53,"a.d.")</f>
        <v>0.27100257243433523</v>
      </c>
      <c r="L80" s="90">
        <f>IFERROR(L65/L53,"a.d.")</f>
        <v>0.21862068123649595</v>
      </c>
      <c r="M80" s="90">
        <f>IFERROR(M65/M53,"a.d.")</f>
        <v>0.19356969432697493</v>
      </c>
      <c r="N80" s="90">
        <f>IFERROR(N65/N53,"a.d.")</f>
        <v>0.2362627690502227</v>
      </c>
      <c r="O80" s="90">
        <f>IFERROR(O65/O53,"a.d.")</f>
        <v>0.24334633299509764</v>
      </c>
      <c r="P80" s="90">
        <f>IFERROR(P65/P53,"a.d.")</f>
        <v>0.22550338295680064</v>
      </c>
      <c r="Q80" s="90">
        <f>IFERROR(Q65/Q53,"a.d.")</f>
        <v>0.22527418925155623</v>
      </c>
      <c r="R80" s="90">
        <f>IFERROR(R65/R53,"a.d.")</f>
        <v>0.2420102836003864</v>
      </c>
    </row>
    <row r="81" spans="1:18" ht="15" customHeight="1" outlineLevel="1" x14ac:dyDescent="0.2">
      <c r="B81" s="24" t="s">
        <v>200</v>
      </c>
      <c r="C81" s="90">
        <f>IFERROR(C66/C54,"a.d.")</f>
        <v>2.9998075257434316</v>
      </c>
      <c r="D81" s="90">
        <f>IFERROR(D66/D54,"a.d.")</f>
        <v>2.2374370050395966</v>
      </c>
      <c r="E81" s="90">
        <f>IFERROR(E66/E54,"a.d.")</f>
        <v>1.1479591836734695</v>
      </c>
      <c r="F81" s="90">
        <f>IFERROR(F66/F54,"a.d.")</f>
        <v>0.96016811087762366</v>
      </c>
      <c r="G81" s="90">
        <f>IFERROR(G66/G54,"a.d.")</f>
        <v>3.8932628797886393</v>
      </c>
      <c r="H81" s="90">
        <f>IFERROR(H66/H54,"a.d.")</f>
        <v>3.3553013488133856</v>
      </c>
      <c r="I81" s="90">
        <f>IFERROR(I66/I54,"a.d.")</f>
        <v>5.0910159529806887</v>
      </c>
      <c r="J81" s="90">
        <f>IFERROR(J66/J54,"a.d.")</f>
        <v>1.7451503191132012</v>
      </c>
      <c r="K81" s="90">
        <f>IFERROR(K66/K54,"a.d.")</f>
        <v>7.4670037485833838</v>
      </c>
      <c r="L81" s="90">
        <f>IFERROR(L66/L54,"a.d.")</f>
        <v>10.182749280514644</v>
      </c>
      <c r="M81" s="90">
        <f>IFERROR(M66/M54,"a.d.")</f>
        <v>6.2855902052815313</v>
      </c>
      <c r="N81" s="90">
        <f>IFERROR(N66/N54,"a.d.")</f>
        <v>10.366507237256135</v>
      </c>
      <c r="O81" s="90">
        <f>IFERROR(O66/O54,"a.d.")</f>
        <v>16.572825597115816</v>
      </c>
      <c r="P81" s="90">
        <f>IFERROR(P66/P54,"a.d.")</f>
        <v>12.541539483793269</v>
      </c>
      <c r="Q81" s="90">
        <f>IFERROR(Q66/Q54,"a.d.")</f>
        <v>11.468999640655666</v>
      </c>
      <c r="R81" s="90">
        <f>IFERROR(R66/R54,"a.d.")</f>
        <v>6.2482778152321732</v>
      </c>
    </row>
    <row r="82" spans="1:18" ht="15" customHeight="1" outlineLevel="1" x14ac:dyDescent="0.2">
      <c r="A82" s="55" t="s">
        <v>164</v>
      </c>
      <c r="B82" s="43" t="s">
        <v>217</v>
      </c>
      <c r="C82" s="91">
        <f>IFERROR(C67/C55,"a.d.")</f>
        <v>0.17022533950026572</v>
      </c>
      <c r="D82" s="91">
        <f>IFERROR(D67/D55,"a.d.")</f>
        <v>0.14199104417916797</v>
      </c>
      <c r="E82" s="91">
        <f>IFERROR(E67/E55,"a.d.")</f>
        <v>0.12714636824627118</v>
      </c>
      <c r="F82" s="91">
        <f>IFERROR(F67/F55,"a.d.")</f>
        <v>9.6885893473513007E-2</v>
      </c>
      <c r="G82" s="91">
        <f>IFERROR(G67/G55,"a.d.")</f>
        <v>1.5340807560706037E-2</v>
      </c>
      <c r="H82" s="91">
        <f>IFERROR(H67/H55,"a.d.")</f>
        <v>2.4896718457516769E-2</v>
      </c>
      <c r="I82" s="91">
        <f>IFERROR(I67/I55,"a.d.")</f>
        <v>1.5281382365600027E-2</v>
      </c>
      <c r="J82" s="91">
        <f>IFERROR(J67/J55,"a.d.")</f>
        <v>-5.7458883070175487E-3</v>
      </c>
      <c r="K82" s="91">
        <f>IFERROR(K67/K55,"a.d.")</f>
        <v>0.10799846250888054</v>
      </c>
      <c r="L82" s="91">
        <f>IFERROR(L67/L55,"a.d.")</f>
        <v>9.7686841898893775E-2</v>
      </c>
      <c r="M82" s="91">
        <f>IFERROR(M67/M55,"a.d.")</f>
        <v>0.10881372191749399</v>
      </c>
      <c r="N82" s="91">
        <f>IFERROR(N67/N55,"a.d.")</f>
        <v>5.1124430498784193E-2</v>
      </c>
      <c r="O82" s="91">
        <f>IFERROR(O67/O55,"a.d.")</f>
        <v>1.8703597890111948E-2</v>
      </c>
      <c r="P82" s="91">
        <f>IFERROR(P67/P55,"a.d.")</f>
        <v>8.2043095167995808E-2</v>
      </c>
      <c r="Q82" s="91">
        <f>IFERROR(Q67/Q55,"a.d.")</f>
        <v>8.4586606225219574E-2</v>
      </c>
      <c r="R82" s="91">
        <f>IFERROR(R67/R55,"a.d.")</f>
        <v>0.11244081421558261</v>
      </c>
    </row>
    <row r="83" spans="1:18" ht="15" customHeight="1" x14ac:dyDescent="0.2">
      <c r="B83" s="52"/>
      <c r="C83" s="13"/>
      <c r="D83" s="13"/>
      <c r="E83" s="13"/>
      <c r="F83" s="13"/>
    </row>
    <row r="84" spans="1:18" ht="15" customHeight="1" x14ac:dyDescent="0.2">
      <c r="B84" s="52"/>
      <c r="C84" s="13"/>
      <c r="D84" s="13"/>
      <c r="E84" s="13"/>
      <c r="F84" s="13"/>
    </row>
    <row r="85" spans="1:18" ht="20.100000000000001" customHeight="1" outlineLevel="1" x14ac:dyDescent="0.2">
      <c r="B85" s="32" t="s">
        <v>152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outlineLevel="1" x14ac:dyDescent="0.2">
      <c r="B86" s="34" t="s">
        <v>65</v>
      </c>
      <c r="C86" s="35" t="s">
        <v>186</v>
      </c>
      <c r="D86" s="35" t="s">
        <v>188</v>
      </c>
      <c r="E86" s="35" t="s">
        <v>191</v>
      </c>
      <c r="F86" s="35" t="s">
        <v>193</v>
      </c>
      <c r="G86" s="35" t="s">
        <v>195</v>
      </c>
      <c r="H86" s="35" t="s">
        <v>205</v>
      </c>
      <c r="I86" s="35" t="s">
        <v>208</v>
      </c>
      <c r="J86" s="35" t="s">
        <v>212</v>
      </c>
      <c r="K86" s="35" t="s">
        <v>219</v>
      </c>
      <c r="L86" s="35" t="s">
        <v>222</v>
      </c>
      <c r="M86" s="35" t="s">
        <v>224</v>
      </c>
      <c r="N86" s="35" t="s">
        <v>226</v>
      </c>
      <c r="O86" s="35" t="s">
        <v>225</v>
      </c>
      <c r="P86" s="35" t="s">
        <v>227</v>
      </c>
      <c r="Q86" s="35" t="s">
        <v>228</v>
      </c>
      <c r="R86" s="35" t="s">
        <v>236</v>
      </c>
    </row>
    <row r="87" spans="1:18" ht="15" customHeight="1" outlineLevel="1" x14ac:dyDescent="0.2">
      <c r="B87" s="42" t="s">
        <v>196</v>
      </c>
      <c r="C87" s="132">
        <f>C50</f>
        <v>3324.8870000000002</v>
      </c>
      <c r="D87" s="37">
        <f t="shared" ref="D87:F91" si="43">D50-C50</f>
        <v>2641.4189999999994</v>
      </c>
      <c r="E87" s="37">
        <f t="shared" si="43"/>
        <v>2254.1770000000006</v>
      </c>
      <c r="F87" s="37">
        <f t="shared" si="43"/>
        <v>2318.0110000000004</v>
      </c>
      <c r="G87" s="132">
        <f>G50</f>
        <v>1787.181</v>
      </c>
      <c r="H87" s="37">
        <f t="shared" ref="H87:R91" si="44">H50-G50</f>
        <v>1821.0790000000002</v>
      </c>
      <c r="I87" s="37">
        <f t="shared" si="44"/>
        <v>1447.8629999999994</v>
      </c>
      <c r="J87" s="37">
        <f t="shared" si="44"/>
        <v>2051.384</v>
      </c>
      <c r="K87" s="132">
        <f>K50</f>
        <v>2094.9929999999999</v>
      </c>
      <c r="L87" s="37">
        <f t="shared" si="44"/>
        <v>1914.6530000000002</v>
      </c>
      <c r="M87" s="37">
        <f>M50-L50</f>
        <v>1969.0099999999998</v>
      </c>
      <c r="N87" s="37">
        <f>N50-M50</f>
        <v>2218.7699999999995</v>
      </c>
      <c r="O87" s="132">
        <f>O50</f>
        <v>1964.1479999999999</v>
      </c>
      <c r="P87" s="37">
        <f t="shared" si="44"/>
        <v>2981.0219999999999</v>
      </c>
      <c r="Q87" s="37">
        <f t="shared" si="44"/>
        <v>2643.9520000000002</v>
      </c>
      <c r="R87" s="37">
        <f>R50-Q50</f>
        <v>3326.8181999999988</v>
      </c>
    </row>
    <row r="88" spans="1:18" ht="15" customHeight="1" outlineLevel="1" x14ac:dyDescent="0.2">
      <c r="B88" s="24" t="s">
        <v>197</v>
      </c>
      <c r="C88" s="135">
        <f>C51</f>
        <v>1171.3889999999999</v>
      </c>
      <c r="D88" s="3">
        <f t="shared" si="43"/>
        <v>889.78</v>
      </c>
      <c r="E88" s="3">
        <f t="shared" si="43"/>
        <v>571.63100000000031</v>
      </c>
      <c r="F88" s="3">
        <f t="shared" si="43"/>
        <v>806.62699999999995</v>
      </c>
      <c r="G88" s="135">
        <f>G51</f>
        <v>1114.5519999999999</v>
      </c>
      <c r="H88" s="3">
        <f t="shared" si="44"/>
        <v>661.90100000000007</v>
      </c>
      <c r="I88" s="3">
        <f t="shared" si="44"/>
        <v>1015.5050000000001</v>
      </c>
      <c r="J88" s="3">
        <f t="shared" si="44"/>
        <v>1095.8489999999997</v>
      </c>
      <c r="K88" s="135">
        <f>K51</f>
        <v>1560.693</v>
      </c>
      <c r="L88" s="3">
        <f t="shared" si="44"/>
        <v>1523.6319999999998</v>
      </c>
      <c r="M88" s="3">
        <f t="shared" si="44"/>
        <v>1400.5190000000002</v>
      </c>
      <c r="N88" s="3">
        <f t="shared" si="44"/>
        <v>2715.0889999999999</v>
      </c>
      <c r="O88" s="135">
        <f>O51</f>
        <v>3043.5639999999999</v>
      </c>
      <c r="P88" s="3">
        <f t="shared" si="44"/>
        <v>4288.6489999999994</v>
      </c>
      <c r="Q88" s="3">
        <f t="shared" si="44"/>
        <v>5013.0130000000008</v>
      </c>
      <c r="R88" s="3">
        <f t="shared" si="44"/>
        <v>5529.0339999999978</v>
      </c>
    </row>
    <row r="89" spans="1:18" ht="15" customHeight="1" outlineLevel="1" x14ac:dyDescent="0.2">
      <c r="B89" s="24" t="s">
        <v>198</v>
      </c>
      <c r="C89" s="137">
        <f>C52</f>
        <v>4.3070000000000004</v>
      </c>
      <c r="D89" s="13">
        <f t="shared" si="43"/>
        <v>76.099999999999994</v>
      </c>
      <c r="E89" s="13">
        <f t="shared" si="43"/>
        <v>65.882999999999996</v>
      </c>
      <c r="F89" s="13">
        <f t="shared" si="43"/>
        <v>59.341000000000008</v>
      </c>
      <c r="G89" s="137">
        <f>G52</f>
        <v>11.231</v>
      </c>
      <c r="H89" s="13">
        <f t="shared" si="44"/>
        <v>47.430999999999997</v>
      </c>
      <c r="I89" s="13">
        <f t="shared" si="44"/>
        <v>73.268000000000001</v>
      </c>
      <c r="J89" s="13">
        <f t="shared" si="44"/>
        <v>68.658999999999992</v>
      </c>
      <c r="K89" s="137">
        <f>K52</f>
        <v>5.258</v>
      </c>
      <c r="L89" s="13">
        <f t="shared" si="44"/>
        <v>52.925999999999995</v>
      </c>
      <c r="M89" s="13">
        <f t="shared" si="44"/>
        <v>51.260000000000005</v>
      </c>
      <c r="N89" s="13">
        <f t="shared" si="44"/>
        <v>74.320000000000007</v>
      </c>
      <c r="O89" s="137">
        <f>O52</f>
        <v>20.533000000000001</v>
      </c>
      <c r="P89" s="13">
        <f t="shared" si="44"/>
        <v>58.019999999999996</v>
      </c>
      <c r="Q89" s="13">
        <f t="shared" si="44"/>
        <v>66.804000000000002</v>
      </c>
      <c r="R89" s="13">
        <f t="shared" si="44"/>
        <v>120.10509999999996</v>
      </c>
    </row>
    <row r="90" spans="1:18" ht="15" customHeight="1" outlineLevel="1" x14ac:dyDescent="0.2">
      <c r="B90" s="24" t="s">
        <v>199</v>
      </c>
      <c r="C90" s="137">
        <f>C53</f>
        <v>76.504000000000005</v>
      </c>
      <c r="D90" s="13">
        <f t="shared" si="43"/>
        <v>100.66199999999999</v>
      </c>
      <c r="E90" s="13">
        <f t="shared" si="43"/>
        <v>88.519999999999982</v>
      </c>
      <c r="F90" s="13">
        <f t="shared" si="43"/>
        <v>111.76300000000003</v>
      </c>
      <c r="G90" s="137">
        <f>G53</f>
        <v>97.620999999999995</v>
      </c>
      <c r="H90" s="13">
        <f t="shared" si="44"/>
        <v>115.92300000000002</v>
      </c>
      <c r="I90" s="13">
        <f t="shared" si="44"/>
        <v>144.30299999999997</v>
      </c>
      <c r="J90" s="13">
        <f t="shared" si="44"/>
        <v>128.39700000000005</v>
      </c>
      <c r="K90" s="137">
        <f>K53</f>
        <v>118.176</v>
      </c>
      <c r="L90" s="13">
        <f t="shared" si="44"/>
        <v>127.58299999999998</v>
      </c>
      <c r="M90" s="13">
        <f t="shared" si="44"/>
        <v>141.81200000000004</v>
      </c>
      <c r="N90" s="13">
        <f t="shared" si="44"/>
        <v>174.82399999999996</v>
      </c>
      <c r="O90" s="137">
        <f>O53</f>
        <v>245.39099999999999</v>
      </c>
      <c r="P90" s="13">
        <f t="shared" si="44"/>
        <v>345.66000000000008</v>
      </c>
      <c r="Q90" s="13">
        <f t="shared" si="44"/>
        <v>475.00099999999986</v>
      </c>
      <c r="R90" s="13">
        <f t="shared" si="44"/>
        <v>434.49250000000006</v>
      </c>
    </row>
    <row r="91" spans="1:18" ht="15" customHeight="1" outlineLevel="1" x14ac:dyDescent="0.2">
      <c r="B91" s="24" t="s">
        <v>200</v>
      </c>
      <c r="C91" s="137">
        <f>C54</f>
        <v>10.391</v>
      </c>
      <c r="D91" s="13">
        <f t="shared" si="43"/>
        <v>10.444000000000001</v>
      </c>
      <c r="E91" s="13">
        <f t="shared" si="43"/>
        <v>10.721</v>
      </c>
      <c r="F91" s="13">
        <f t="shared" si="43"/>
        <v>10.797000000000001</v>
      </c>
      <c r="G91" s="137">
        <f>G54</f>
        <v>11.355</v>
      </c>
      <c r="H91" s="13">
        <f t="shared" si="44"/>
        <v>12.073</v>
      </c>
      <c r="I91" s="13">
        <f t="shared" si="44"/>
        <v>12.301999999999996</v>
      </c>
      <c r="J91" s="13">
        <f t="shared" si="44"/>
        <v>11.902000000000001</v>
      </c>
      <c r="K91" s="137">
        <f>K54</f>
        <v>11.471</v>
      </c>
      <c r="L91" s="13">
        <f t="shared" si="44"/>
        <v>12.157</v>
      </c>
      <c r="M91" s="13">
        <f t="shared" si="44"/>
        <v>36.241</v>
      </c>
      <c r="N91" s="13">
        <f t="shared" si="44"/>
        <v>19.581000000000003</v>
      </c>
      <c r="O91" s="137">
        <f>O54</f>
        <v>22.19</v>
      </c>
      <c r="P91" s="13">
        <f t="shared" si="44"/>
        <v>25.968999999999998</v>
      </c>
      <c r="Q91" s="13">
        <f t="shared" si="44"/>
        <v>24.195</v>
      </c>
      <c r="R91" s="13">
        <f t="shared" si="44"/>
        <v>39.930700000000002</v>
      </c>
    </row>
    <row r="92" spans="1:18" ht="15" customHeight="1" outlineLevel="1" x14ac:dyDescent="0.2">
      <c r="B92" s="43" t="s">
        <v>77</v>
      </c>
      <c r="C92" s="44">
        <f>+C55</f>
        <v>4587.4780000000001</v>
      </c>
      <c r="D92" s="44">
        <f>+D55-C55</f>
        <v>3718.4049999999997</v>
      </c>
      <c r="E92" s="44">
        <f>+E55-D55</f>
        <v>2990.9320000000007</v>
      </c>
      <c r="F92" s="44">
        <f>+F55-E55</f>
        <v>3306.5389999999989</v>
      </c>
      <c r="G92" s="44">
        <f>+G55</f>
        <v>3021.94</v>
      </c>
      <c r="H92" s="44">
        <f>+H55-G55</f>
        <v>2658.4069999999997</v>
      </c>
      <c r="I92" s="44">
        <f>+I55-H55</f>
        <v>2693.241</v>
      </c>
      <c r="J92" s="44">
        <f>+J55-I55</f>
        <v>3356.1910000000007</v>
      </c>
      <c r="K92" s="44">
        <f>+K55</f>
        <v>3790.5909999999999</v>
      </c>
      <c r="L92" s="44">
        <f>+L55-K55</f>
        <v>3630.9510000000005</v>
      </c>
      <c r="M92" s="44">
        <f>+M55-L55</f>
        <v>3598.8419999999996</v>
      </c>
      <c r="N92" s="44">
        <f>+N55-M55</f>
        <v>5202.5840000000007</v>
      </c>
      <c r="O92" s="44">
        <f>+O55</f>
        <v>5295.826</v>
      </c>
      <c r="P92" s="44">
        <f>+P55-O55</f>
        <v>7699.3200000000006</v>
      </c>
      <c r="Q92" s="44">
        <f>+Q55-P55</f>
        <v>8222.9650000000001</v>
      </c>
      <c r="R92" s="44">
        <f>+R55-Q55</f>
        <v>9450.3808999999965</v>
      </c>
    </row>
    <row r="93" spans="1:18" ht="15" customHeight="1" outlineLevel="1" x14ac:dyDescent="0.2">
      <c r="B93" s="42" t="s">
        <v>196</v>
      </c>
      <c r="C93" s="132">
        <f>C56</f>
        <v>808.57500000000005</v>
      </c>
      <c r="D93" s="37">
        <f t="shared" ref="D93:F97" si="45">D56-C56</f>
        <v>274.65699999999993</v>
      </c>
      <c r="E93" s="37">
        <f t="shared" si="45"/>
        <v>324.42499999999995</v>
      </c>
      <c r="F93" s="37">
        <f t="shared" si="45"/>
        <v>43.747000000000071</v>
      </c>
      <c r="G93" s="132">
        <f>G56</f>
        <v>-46.23</v>
      </c>
      <c r="H93" s="37">
        <f t="shared" ref="H93:R97" si="46">H56-G56</f>
        <v>90.956999999999994</v>
      </c>
      <c r="I93" s="37">
        <f t="shared" si="46"/>
        <v>-210.06100000000001</v>
      </c>
      <c r="J93" s="37">
        <f t="shared" si="46"/>
        <v>-178.58999999999997</v>
      </c>
      <c r="K93" s="132">
        <f>K56</f>
        <v>108.807</v>
      </c>
      <c r="L93" s="37">
        <f t="shared" si="46"/>
        <v>47.841999999999999</v>
      </c>
      <c r="M93" s="37">
        <f t="shared" si="46"/>
        <v>112.10000000000002</v>
      </c>
      <c r="N93" s="37">
        <f t="shared" si="46"/>
        <v>-1341.749</v>
      </c>
      <c r="O93" s="132">
        <f>O56</f>
        <v>-464</v>
      </c>
      <c r="P93" s="37">
        <f t="shared" si="46"/>
        <v>300</v>
      </c>
      <c r="Q93" s="37">
        <f t="shared" si="46"/>
        <v>-181</v>
      </c>
      <c r="R93" s="37">
        <f t="shared" si="46"/>
        <v>978.39290000000005</v>
      </c>
    </row>
    <row r="94" spans="1:18" ht="15" customHeight="1" outlineLevel="1" x14ac:dyDescent="0.2">
      <c r="B94" s="24" t="s">
        <v>197</v>
      </c>
      <c r="C94" s="135">
        <f>C57</f>
        <v>150.38499999999999</v>
      </c>
      <c r="D94" s="3">
        <f t="shared" si="45"/>
        <v>164.48700000000002</v>
      </c>
      <c r="E94" s="3">
        <f t="shared" si="45"/>
        <v>80.354999999999961</v>
      </c>
      <c r="F94" s="3">
        <f t="shared" si="45"/>
        <v>62.347000000000037</v>
      </c>
      <c r="G94" s="135">
        <f>G57</f>
        <v>174.47800000000001</v>
      </c>
      <c r="H94" s="3">
        <f t="shared" si="46"/>
        <v>106.41399999999999</v>
      </c>
      <c r="I94" s="3">
        <f t="shared" si="46"/>
        <v>197.01</v>
      </c>
      <c r="J94" s="3">
        <f t="shared" si="46"/>
        <v>257.86600000000004</v>
      </c>
      <c r="K94" s="135">
        <f>K57</f>
        <v>390.637</v>
      </c>
      <c r="L94" s="3">
        <f t="shared" si="46"/>
        <v>313.17</v>
      </c>
      <c r="M94" s="3">
        <f t="shared" si="46"/>
        <v>246.99099999999999</v>
      </c>
      <c r="N94" s="3">
        <f t="shared" si="46"/>
        <v>851.202</v>
      </c>
      <c r="O94" s="135">
        <f>O57</f>
        <v>535</v>
      </c>
      <c r="P94" s="3">
        <f t="shared" si="46"/>
        <v>748</v>
      </c>
      <c r="Q94" s="3">
        <f t="shared" si="46"/>
        <v>787</v>
      </c>
      <c r="R94" s="3">
        <f t="shared" si="46"/>
        <v>388.28819999999996</v>
      </c>
    </row>
    <row r="95" spans="1:18" ht="15" customHeight="1" outlineLevel="1" x14ac:dyDescent="0.2">
      <c r="B95" s="24" t="s">
        <v>198</v>
      </c>
      <c r="C95" s="137">
        <f>C58</f>
        <v>-2.7970000000000002</v>
      </c>
      <c r="D95" s="13">
        <f t="shared" si="45"/>
        <v>8.3130000000000006</v>
      </c>
      <c r="E95" s="13">
        <f t="shared" si="45"/>
        <v>-6.5010000000000003</v>
      </c>
      <c r="F95" s="13">
        <f t="shared" si="45"/>
        <v>-6.9479999999999995</v>
      </c>
      <c r="G95" s="137">
        <f>G58</f>
        <v>-7.9269999999999996</v>
      </c>
      <c r="H95" s="13">
        <f t="shared" si="46"/>
        <v>1.8519999999999994</v>
      </c>
      <c r="I95" s="13">
        <f t="shared" si="46"/>
        <v>-5.4509999999999996</v>
      </c>
      <c r="J95" s="13">
        <f t="shared" si="46"/>
        <v>-16.574999999999999</v>
      </c>
      <c r="K95" s="137">
        <f>K58</f>
        <v>-11.398999999999999</v>
      </c>
      <c r="L95" s="13">
        <f t="shared" si="46"/>
        <v>-8.8260000000000023</v>
      </c>
      <c r="M95" s="13">
        <f t="shared" si="46"/>
        <v>-6.2530000000000001</v>
      </c>
      <c r="N95" s="13">
        <f t="shared" si="46"/>
        <v>-21.521999999999998</v>
      </c>
      <c r="O95" s="137">
        <f>O58</f>
        <v>1</v>
      </c>
      <c r="P95" s="13">
        <f t="shared" si="46"/>
        <v>19</v>
      </c>
      <c r="Q95" s="13">
        <f t="shared" si="46"/>
        <v>2</v>
      </c>
      <c r="R95" s="13">
        <f t="shared" si="46"/>
        <v>8.6997</v>
      </c>
    </row>
    <row r="96" spans="1:18" ht="15" customHeight="1" outlineLevel="1" x14ac:dyDescent="0.2">
      <c r="B96" s="24" t="s">
        <v>199</v>
      </c>
      <c r="C96" s="137">
        <f>C59</f>
        <v>13.757</v>
      </c>
      <c r="D96" s="13">
        <f t="shared" si="45"/>
        <v>31.673000000000002</v>
      </c>
      <c r="E96" s="13">
        <f t="shared" si="45"/>
        <v>19.187999999999995</v>
      </c>
      <c r="F96" s="13">
        <f t="shared" si="45"/>
        <v>39.094000000000008</v>
      </c>
      <c r="G96" s="137">
        <f>G59</f>
        <v>25.042999999999999</v>
      </c>
      <c r="H96" s="13">
        <f t="shared" si="46"/>
        <v>49.817</v>
      </c>
      <c r="I96" s="13">
        <f t="shared" si="46"/>
        <v>58.894999999999996</v>
      </c>
      <c r="J96" s="13">
        <f t="shared" si="46"/>
        <v>42.073000000000008</v>
      </c>
      <c r="K96" s="137">
        <f>K59</f>
        <v>39.512999999999998</v>
      </c>
      <c r="L96" s="13">
        <f t="shared" si="46"/>
        <v>36.833999999999996</v>
      </c>
      <c r="M96" s="13">
        <f t="shared" si="46"/>
        <v>32.75500000000001</v>
      </c>
      <c r="N96" s="13">
        <f t="shared" si="46"/>
        <v>59.897999999999996</v>
      </c>
      <c r="O96" s="137">
        <f>O59</f>
        <v>66</v>
      </c>
      <c r="P96" s="13">
        <f t="shared" si="46"/>
        <v>86</v>
      </c>
      <c r="Q96" s="13">
        <f t="shared" si="46"/>
        <v>112</v>
      </c>
      <c r="R96" s="13">
        <f t="shared" si="46"/>
        <v>86.140900000000045</v>
      </c>
    </row>
    <row r="97" spans="1:18" ht="15" customHeight="1" outlineLevel="1" x14ac:dyDescent="0.2">
      <c r="B97" s="24" t="s">
        <v>200</v>
      </c>
      <c r="C97" s="137">
        <f>C60</f>
        <v>-27.283999999999999</v>
      </c>
      <c r="D97" s="13">
        <f t="shared" si="45"/>
        <v>-24.408000000000001</v>
      </c>
      <c r="E97" s="13">
        <f t="shared" si="45"/>
        <v>-15.633999999999993</v>
      </c>
      <c r="F97" s="13">
        <f t="shared" si="45"/>
        <v>-16.38300000000001</v>
      </c>
      <c r="G97" s="137">
        <f>G60</f>
        <v>-21.72</v>
      </c>
      <c r="H97" s="13">
        <f t="shared" si="46"/>
        <v>-23.810000000000002</v>
      </c>
      <c r="I97" s="13">
        <f t="shared" si="46"/>
        <v>-12.429000000000002</v>
      </c>
      <c r="J97" s="13">
        <f t="shared" si="46"/>
        <v>-22.86</v>
      </c>
      <c r="K97" s="137">
        <f>K60</f>
        <v>-11.43</v>
      </c>
      <c r="L97" s="13">
        <f t="shared" si="46"/>
        <v>-78.596000000000004</v>
      </c>
      <c r="M97" s="13">
        <f t="shared" si="46"/>
        <v>4.4719999999999942</v>
      </c>
      <c r="N97" s="13">
        <f t="shared" si="46"/>
        <v>-36.445999999999998</v>
      </c>
      <c r="O97" s="137">
        <f>O60</f>
        <v>-11</v>
      </c>
      <c r="P97" s="13">
        <f t="shared" si="46"/>
        <v>-15</v>
      </c>
      <c r="Q97" s="13">
        <f t="shared" si="46"/>
        <v>-15</v>
      </c>
      <c r="R97" s="13">
        <f t="shared" si="46"/>
        <v>-21.738699999999994</v>
      </c>
    </row>
    <row r="98" spans="1:18" ht="15" customHeight="1" outlineLevel="1" x14ac:dyDescent="0.2">
      <c r="B98" s="43" t="s">
        <v>78</v>
      </c>
      <c r="C98" s="44">
        <f>+C61</f>
        <v>942.63599999999997</v>
      </c>
      <c r="D98" s="44">
        <f>+D61-C61</f>
        <v>454.72199999999998</v>
      </c>
      <c r="E98" s="44">
        <f>+E61-D61</f>
        <v>401.83300000000008</v>
      </c>
      <c r="F98" s="44">
        <f>+F61-E61</f>
        <v>121.85699999999997</v>
      </c>
      <c r="G98" s="44">
        <f>+G61</f>
        <v>123.64400000000001</v>
      </c>
      <c r="H98" s="44">
        <f>+H61-G61</f>
        <v>225.23000000000002</v>
      </c>
      <c r="I98" s="44">
        <f>+I61-H61</f>
        <v>27.963999999999999</v>
      </c>
      <c r="J98" s="44">
        <f>+J61-I61</f>
        <v>81.919999999998765</v>
      </c>
      <c r="K98" s="44">
        <f>+K61</f>
        <v>516.12800000000004</v>
      </c>
      <c r="L98" s="44">
        <f>+L61-K61</f>
        <v>310.42399999999998</v>
      </c>
      <c r="M98" s="44">
        <f>+M61-L61</f>
        <v>390.06499999999994</v>
      </c>
      <c r="N98" s="44">
        <f>+N61-M61</f>
        <v>-488.61699999999996</v>
      </c>
      <c r="O98" s="44">
        <f>+O61</f>
        <v>127</v>
      </c>
      <c r="P98" s="44">
        <f>+P61-O61</f>
        <v>1137</v>
      </c>
      <c r="Q98" s="44">
        <f>+Q61-P61</f>
        <v>706</v>
      </c>
      <c r="R98" s="44">
        <f>+R61-Q61</f>
        <v>1439.7829999999999</v>
      </c>
    </row>
    <row r="99" spans="1:18" ht="15" customHeight="1" outlineLevel="1" x14ac:dyDescent="0.2">
      <c r="B99" s="42" t="s">
        <v>196</v>
      </c>
      <c r="C99" s="132">
        <f>C62</f>
        <v>633.46900000000005</v>
      </c>
      <c r="D99" s="37">
        <f t="shared" ref="D99:F103" si="47">D62-C62</f>
        <v>228.43499999999995</v>
      </c>
      <c r="E99" s="37">
        <f t="shared" si="47"/>
        <v>205.07099999999991</v>
      </c>
      <c r="F99" s="37">
        <f t="shared" si="47"/>
        <v>-76.237999999999943</v>
      </c>
      <c r="G99" s="132">
        <f>G62</f>
        <v>-90.34</v>
      </c>
      <c r="H99" s="37">
        <f t="shared" ref="H99:R103" si="48">H62-G62</f>
        <v>-17.402000000000001</v>
      </c>
      <c r="I99" s="37">
        <f t="shared" si="48"/>
        <v>-270.16899999999998</v>
      </c>
      <c r="J99" s="37">
        <f t="shared" si="48"/>
        <v>-288.74100000000004</v>
      </c>
      <c r="K99" s="132">
        <f>K62</f>
        <v>11.666</v>
      </c>
      <c r="L99" s="37">
        <f t="shared" si="48"/>
        <v>-62.349000000000004</v>
      </c>
      <c r="M99" s="37">
        <f t="shared" si="48"/>
        <v>37.516999999999996</v>
      </c>
      <c r="N99" s="37">
        <f t="shared" si="48"/>
        <v>-1665.913</v>
      </c>
      <c r="O99" s="132">
        <f>O62</f>
        <v>-641.32299999999998</v>
      </c>
      <c r="P99" s="37">
        <f t="shared" si="48"/>
        <v>208.77599999999995</v>
      </c>
      <c r="Q99" s="37">
        <f t="shared" si="48"/>
        <v>-279.24699999999996</v>
      </c>
      <c r="R99" s="37">
        <f t="shared" si="48"/>
        <v>765.39930000000004</v>
      </c>
    </row>
    <row r="100" spans="1:18" ht="15" customHeight="1" outlineLevel="1" x14ac:dyDescent="0.2">
      <c r="B100" s="24" t="s">
        <v>197</v>
      </c>
      <c r="C100" s="135">
        <f>C63</f>
        <v>105.69799999999999</v>
      </c>
      <c r="D100" s="3">
        <f t="shared" si="47"/>
        <v>130.19499999999999</v>
      </c>
      <c r="E100" s="3">
        <f t="shared" si="47"/>
        <v>57.051999999999992</v>
      </c>
      <c r="F100" s="3">
        <f t="shared" si="47"/>
        <v>30.418000000000006</v>
      </c>
      <c r="G100" s="135">
        <f>G63</f>
        <v>89.326999999999998</v>
      </c>
      <c r="H100" s="3">
        <f t="shared" si="48"/>
        <v>45.266999999999996</v>
      </c>
      <c r="I100" s="3">
        <f t="shared" si="48"/>
        <v>122.45600000000002</v>
      </c>
      <c r="J100" s="3">
        <f t="shared" si="48"/>
        <v>193.51999999999998</v>
      </c>
      <c r="K100" s="135">
        <f>K63</f>
        <v>310.35599999999999</v>
      </c>
      <c r="L100" s="3">
        <f t="shared" si="48"/>
        <v>224.07600000000002</v>
      </c>
      <c r="M100" s="3">
        <f t="shared" si="48"/>
        <v>297.471</v>
      </c>
      <c r="N100" s="3">
        <f t="shared" si="48"/>
        <v>833.54700000000003</v>
      </c>
      <c r="O100" s="135">
        <f>O63</f>
        <v>332.86</v>
      </c>
      <c r="P100" s="3">
        <f t="shared" si="48"/>
        <v>428.38499999999999</v>
      </c>
      <c r="Q100" s="3">
        <f t="shared" si="48"/>
        <v>689.66600000000005</v>
      </c>
      <c r="R100" s="3">
        <f t="shared" si="48"/>
        <v>895.13940000000002</v>
      </c>
    </row>
    <row r="101" spans="1:18" ht="15" customHeight="1" outlineLevel="1" x14ac:dyDescent="0.2">
      <c r="B101" s="24" t="s">
        <v>198</v>
      </c>
      <c r="C101" s="137">
        <f>C64</f>
        <v>-2.2589999999999999</v>
      </c>
      <c r="D101" s="13">
        <f t="shared" si="47"/>
        <v>-0.4650000000000003</v>
      </c>
      <c r="E101" s="13">
        <f t="shared" si="47"/>
        <v>-7.7750000000000004</v>
      </c>
      <c r="F101" s="13">
        <f t="shared" si="47"/>
        <v>-8.92</v>
      </c>
      <c r="G101" s="137">
        <f>G64</f>
        <v>-14.88</v>
      </c>
      <c r="H101" s="13">
        <f t="shared" si="48"/>
        <v>-3.8139999999999983</v>
      </c>
      <c r="I101" s="13">
        <f t="shared" si="48"/>
        <v>-18.102</v>
      </c>
      <c r="J101" s="13">
        <f t="shared" si="48"/>
        <v>-29.366000000000007</v>
      </c>
      <c r="K101" s="137">
        <f>K64</f>
        <v>-30.324000000000002</v>
      </c>
      <c r="L101" s="13">
        <f t="shared" si="48"/>
        <v>-22.763999999999999</v>
      </c>
      <c r="M101" s="13">
        <f t="shared" si="48"/>
        <v>-17.814</v>
      </c>
      <c r="N101" s="13">
        <f t="shared" si="48"/>
        <v>-42.570999999999998</v>
      </c>
      <c r="O101" s="137">
        <f>O64</f>
        <v>-19.952000000000002</v>
      </c>
      <c r="P101" s="13">
        <f t="shared" si="48"/>
        <v>20.144000000000002</v>
      </c>
      <c r="Q101" s="13">
        <f t="shared" si="48"/>
        <v>-14.523</v>
      </c>
      <c r="R101" s="13">
        <f t="shared" si="48"/>
        <v>-1.6677000000000017</v>
      </c>
    </row>
    <row r="102" spans="1:18" ht="15" customHeight="1" outlineLevel="1" x14ac:dyDescent="0.2">
      <c r="B102" s="24" t="s">
        <v>199</v>
      </c>
      <c r="C102" s="137">
        <f>C65</f>
        <v>12.826000000000001</v>
      </c>
      <c r="D102" s="13">
        <f t="shared" si="47"/>
        <v>24.844999999999999</v>
      </c>
      <c r="E102" s="13">
        <f t="shared" si="47"/>
        <v>13.032000000000004</v>
      </c>
      <c r="F102" s="13">
        <f t="shared" si="47"/>
        <v>28.808999999999997</v>
      </c>
      <c r="G102" s="137">
        <f>G65</f>
        <v>18.044</v>
      </c>
      <c r="H102" s="13">
        <f t="shared" si="48"/>
        <v>36.611999999999995</v>
      </c>
      <c r="I102" s="13">
        <f t="shared" si="48"/>
        <v>49.059000000000005</v>
      </c>
      <c r="J102" s="13">
        <f t="shared" si="48"/>
        <v>28.006</v>
      </c>
      <c r="K102" s="137">
        <f>K65</f>
        <v>32.026000000000003</v>
      </c>
      <c r="L102" s="13">
        <f t="shared" si="48"/>
        <v>21.701999999999998</v>
      </c>
      <c r="M102" s="13">
        <f t="shared" si="48"/>
        <v>21.294000000000004</v>
      </c>
      <c r="N102" s="13">
        <f t="shared" si="48"/>
        <v>57.850999999999985</v>
      </c>
      <c r="O102" s="137">
        <f>O65</f>
        <v>59.715000000000003</v>
      </c>
      <c r="P102" s="13">
        <f t="shared" si="48"/>
        <v>73.568999999999988</v>
      </c>
      <c r="Q102" s="13">
        <f t="shared" si="48"/>
        <v>106.87</v>
      </c>
      <c r="R102" s="13">
        <f t="shared" si="48"/>
        <v>122.9932</v>
      </c>
    </row>
    <row r="103" spans="1:18" ht="15" customHeight="1" outlineLevel="1" x14ac:dyDescent="0.2">
      <c r="B103" s="24" t="s">
        <v>200</v>
      </c>
      <c r="C103" s="137">
        <f>C66</f>
        <v>31.170999999999999</v>
      </c>
      <c r="D103" s="13">
        <f t="shared" si="47"/>
        <v>15.445999999999998</v>
      </c>
      <c r="E103" s="13">
        <f t="shared" si="47"/>
        <v>-10.391999999999996</v>
      </c>
      <c r="F103" s="13">
        <f t="shared" si="47"/>
        <v>4.4409999999999954</v>
      </c>
      <c r="G103" s="137">
        <f>G66</f>
        <v>44.207999999999998</v>
      </c>
      <c r="H103" s="13">
        <f t="shared" si="48"/>
        <v>34.400000000000006</v>
      </c>
      <c r="I103" s="13">
        <f t="shared" si="48"/>
        <v>103.29399999999998</v>
      </c>
      <c r="J103" s="13">
        <f t="shared" si="48"/>
        <v>-98.776999999999987</v>
      </c>
      <c r="K103" s="137">
        <f>K66</f>
        <v>85.653999999999996</v>
      </c>
      <c r="L103" s="13">
        <f t="shared" si="48"/>
        <v>154.94400000000002</v>
      </c>
      <c r="M103" s="13">
        <f t="shared" si="48"/>
        <v>135.714</v>
      </c>
      <c r="N103" s="13">
        <f t="shared" si="48"/>
        <v>447.30700000000002</v>
      </c>
      <c r="O103" s="137">
        <f>O66</f>
        <v>367.75099999999998</v>
      </c>
      <c r="P103" s="13">
        <f t="shared" si="48"/>
        <v>236.23700000000008</v>
      </c>
      <c r="Q103" s="13">
        <f t="shared" si="48"/>
        <v>225.83999999999992</v>
      </c>
      <c r="R103" s="13">
        <f t="shared" si="48"/>
        <v>-128.24199999999996</v>
      </c>
    </row>
    <row r="104" spans="1:18" ht="15" customHeight="1" outlineLevel="1" x14ac:dyDescent="0.2">
      <c r="A104" s="55" t="s">
        <v>164</v>
      </c>
      <c r="B104" s="43" t="s">
        <v>79</v>
      </c>
      <c r="C104" s="44">
        <f>+C67</f>
        <v>780.90499999999997</v>
      </c>
      <c r="D104" s="44">
        <f>+D67-C67</f>
        <v>398.45600000000013</v>
      </c>
      <c r="E104" s="44">
        <f>+E67-D67</f>
        <v>256.98799999999983</v>
      </c>
      <c r="F104" s="44">
        <f>+F67-E67</f>
        <v>-21.490000000000009</v>
      </c>
      <c r="G104" s="44">
        <f>+G67</f>
        <v>46.359000000000002</v>
      </c>
      <c r="H104" s="44">
        <f>+H67-G67</f>
        <v>95.062999999999988</v>
      </c>
      <c r="I104" s="44">
        <f>+I67-H67</f>
        <v>-13.462000000000003</v>
      </c>
      <c r="J104" s="44">
        <f>+J67-I67</f>
        <v>-195.358</v>
      </c>
      <c r="K104" s="44">
        <f>+K67</f>
        <v>409.37799999999999</v>
      </c>
      <c r="L104" s="44">
        <f>+L67-K67</f>
        <v>315.60899999999998</v>
      </c>
      <c r="M104" s="44">
        <f>+M67-L67</f>
        <v>474.18200000000013</v>
      </c>
      <c r="N104" s="44">
        <f>+N67-M67</f>
        <v>-369.77900000000011</v>
      </c>
      <c r="O104" s="44">
        <f>+O67</f>
        <v>99.051000000000002</v>
      </c>
      <c r="P104" s="44">
        <f>+P67-O67</f>
        <v>967.11099999999999</v>
      </c>
      <c r="Q104" s="44">
        <f>+Q67-P67</f>
        <v>728.60599999999999</v>
      </c>
      <c r="R104" s="44">
        <f>+R67-Q67</f>
        <v>1653.6221999999998</v>
      </c>
    </row>
    <row r="105" spans="1:18" x14ac:dyDescent="0.2">
      <c r="F105" s="69"/>
    </row>
    <row r="106" spans="1:18" x14ac:dyDescent="0.2">
      <c r="F106" s="69"/>
    </row>
    <row r="107" spans="1:18" ht="21" customHeight="1" outlineLevel="1" x14ac:dyDescent="0.2">
      <c r="B107" s="32" t="s">
        <v>215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1:18" ht="15" customHeight="1" outlineLevel="1" x14ac:dyDescent="0.2">
      <c r="B108" s="42" t="s">
        <v>196</v>
      </c>
      <c r="C108" s="90">
        <f>IFERROR(C93/C87,"a.d.")</f>
        <v>0.24318871588718655</v>
      </c>
      <c r="D108" s="90">
        <f>IFERROR(D93/D87,"a.d.")</f>
        <v>0.10398085271590762</v>
      </c>
      <c r="E108" s="90">
        <f>IFERROR(E93/E87,"a.d.")</f>
        <v>0.14392170623691036</v>
      </c>
      <c r="F108" s="90">
        <f>IFERROR(F93/F87,"a.d.")</f>
        <v>1.8872645556902042E-2</v>
      </c>
      <c r="G108" s="90">
        <f>IFERROR(G93/G87,"a.d.")</f>
        <v>-2.5867553426317757E-2</v>
      </c>
      <c r="H108" s="90">
        <f>IFERROR(H93/H87,"a.d.")</f>
        <v>4.9946762331562762E-2</v>
      </c>
      <c r="I108" s="90">
        <f>IFERROR(I93/I87,"a.d.")</f>
        <v>-0.14508347820201228</v>
      </c>
      <c r="J108" s="90">
        <f>IFERROR(J93/J87,"a.d.")</f>
        <v>-8.7058298202579321E-2</v>
      </c>
      <c r="K108" s="90">
        <f>IFERROR(K93/K87,"a.d.")</f>
        <v>5.1936689048603026E-2</v>
      </c>
      <c r="L108" s="90">
        <f>IFERROR(L93/L87,"a.d.")</f>
        <v>2.4987295348034341E-2</v>
      </c>
      <c r="M108" s="90">
        <f>IFERROR(M93/M87,"a.d.")</f>
        <v>5.6932163879309924E-2</v>
      </c>
      <c r="N108" s="90">
        <f>IFERROR(N93/N87,"a.d.")</f>
        <v>-0.60472649260626399</v>
      </c>
      <c r="O108" s="90">
        <f>IFERROR(O93/O87,"a.d.")</f>
        <v>-0.2362347440213263</v>
      </c>
      <c r="P108" s="90">
        <f>IFERROR(P93/P87,"a.d.")</f>
        <v>0.10063662730432718</v>
      </c>
      <c r="Q108" s="90">
        <f>IFERROR(Q93/Q87,"a.d.")</f>
        <v>-6.8458126319993706E-2</v>
      </c>
      <c r="R108" s="90">
        <f>IFERROR(R93/R87,"a.d.")</f>
        <v>0.29409268591833493</v>
      </c>
    </row>
    <row r="109" spans="1:18" ht="15" customHeight="1" outlineLevel="1" x14ac:dyDescent="0.2">
      <c r="B109" s="24" t="s">
        <v>197</v>
      </c>
      <c r="C109" s="90">
        <f>IFERROR(C94/C88,"a.d.")</f>
        <v>0.12838177582340282</v>
      </c>
      <c r="D109" s="90">
        <f>IFERROR(D94/D88,"a.d.")</f>
        <v>0.18486255029333096</v>
      </c>
      <c r="E109" s="90">
        <f>IFERROR(E94/E88,"a.d.")</f>
        <v>0.14057145256292944</v>
      </c>
      <c r="F109" s="90">
        <f>IFERROR(F94/F88,"a.d.")</f>
        <v>7.7293470216097448E-2</v>
      </c>
      <c r="G109" s="90">
        <f>IFERROR(G94/G88,"a.d.")</f>
        <v>0.15654541017377388</v>
      </c>
      <c r="H109" s="90">
        <f>IFERROR(H94/H88,"a.d.")</f>
        <v>0.16077026624827576</v>
      </c>
      <c r="I109" s="90">
        <f>IFERROR(I94/I88,"a.d.")</f>
        <v>0.19400199900542092</v>
      </c>
      <c r="J109" s="90">
        <f>IFERROR(J94/J88,"a.d.")</f>
        <v>0.23531161683772137</v>
      </c>
      <c r="K109" s="90">
        <f>IFERROR(K94/K88,"a.d.")</f>
        <v>0.25029714364067757</v>
      </c>
      <c r="L109" s="90">
        <f>IFERROR(L94/L88,"a.d.")</f>
        <v>0.20554175811482042</v>
      </c>
      <c r="M109" s="90">
        <f>IFERROR(M94/M88,"a.d.")</f>
        <v>0.17635676488501759</v>
      </c>
      <c r="N109" s="90">
        <f>IFERROR(N94/N88,"a.d.")</f>
        <v>0.31350795498784756</v>
      </c>
      <c r="O109" s="90">
        <f>IFERROR(O94/O88,"a.d.")</f>
        <v>0.17578076229052519</v>
      </c>
      <c r="P109" s="90">
        <f>IFERROR(P94/P88,"a.d.")</f>
        <v>0.17441390050806213</v>
      </c>
      <c r="Q109" s="90">
        <f>IFERROR(Q94/Q88,"a.d.")</f>
        <v>0.15699141414554477</v>
      </c>
      <c r="R109" s="90">
        <f>IFERROR(R94/R88,"a.d.")</f>
        <v>7.0227131900436876E-2</v>
      </c>
    </row>
    <row r="110" spans="1:18" ht="15" customHeight="1" outlineLevel="1" x14ac:dyDescent="0.2">
      <c r="B110" s="24" t="s">
        <v>198</v>
      </c>
      <c r="C110" s="90">
        <f>IFERROR(C95/C89,"a.d.")</f>
        <v>-0.64940794056187601</v>
      </c>
      <c r="D110" s="90">
        <f>IFERROR(D95/D89,"a.d.")</f>
        <v>0.1092378449408673</v>
      </c>
      <c r="E110" s="90">
        <f>IFERROR(E95/E89,"a.d.")</f>
        <v>-9.8674923728427677E-2</v>
      </c>
      <c r="F110" s="90">
        <f>IFERROR(F95/F89,"a.d.")</f>
        <v>-0.11708599450632781</v>
      </c>
      <c r="G110" s="90">
        <f>IFERROR(G95/G89,"a.d.")</f>
        <v>-0.70581426409046388</v>
      </c>
      <c r="H110" s="90">
        <f>IFERROR(H95/H89,"a.d.")</f>
        <v>3.9046193417806907E-2</v>
      </c>
      <c r="I110" s="90">
        <f>IFERROR(I95/I89,"a.d.")</f>
        <v>-7.4398100125566413E-2</v>
      </c>
      <c r="J110" s="90">
        <f>IFERROR(J95/J89,"a.d.")</f>
        <v>-0.24141044873942238</v>
      </c>
      <c r="K110" s="90">
        <f>IFERROR(K95/K89,"a.d.")</f>
        <v>-2.1679345758843667</v>
      </c>
      <c r="L110" s="90">
        <f>IFERROR(L95/L89,"a.d.")</f>
        <v>-0.16676113819294872</v>
      </c>
      <c r="M110" s="90">
        <f>IFERROR(M95/M89,"a.d.")</f>
        <v>-0.12198595396020288</v>
      </c>
      <c r="N110" s="90">
        <f>IFERROR(N95/N89,"a.d.")</f>
        <v>-0.28958557588805162</v>
      </c>
      <c r="O110" s="90">
        <f>IFERROR(O95/O89,"a.d.")</f>
        <v>4.8702089319631811E-2</v>
      </c>
      <c r="P110" s="90">
        <f>IFERROR(P95/P89,"a.d.")</f>
        <v>0.32747328507411239</v>
      </c>
      <c r="Q110" s="90">
        <f>IFERROR(Q95/Q89,"a.d.")</f>
        <v>2.9938327046284654E-2</v>
      </c>
      <c r="R110" s="90">
        <f>IFERROR(R95/R89,"a.d.")</f>
        <v>7.2434059835927059E-2</v>
      </c>
    </row>
    <row r="111" spans="1:18" ht="15" customHeight="1" outlineLevel="1" x14ac:dyDescent="0.2">
      <c r="B111" s="24" t="s">
        <v>199</v>
      </c>
      <c r="C111" s="90">
        <f>IFERROR(C96/C90,"a.d.")</f>
        <v>0.17982066297187074</v>
      </c>
      <c r="D111" s="90">
        <f>IFERROR(D96/D90,"a.d.")</f>
        <v>0.31464703661759158</v>
      </c>
      <c r="E111" s="90">
        <f>IFERROR(E96/E90,"a.d.")</f>
        <v>0.21676457297785809</v>
      </c>
      <c r="F111" s="90">
        <f>IFERROR(F96/F90,"a.d.")</f>
        <v>0.34979376001002116</v>
      </c>
      <c r="G111" s="90">
        <f>IFERROR(G96/G90,"a.d.")</f>
        <v>0.25653291812212536</v>
      </c>
      <c r="H111" s="90">
        <f>IFERROR(H96/H90,"a.d.")</f>
        <v>0.42974215643142427</v>
      </c>
      <c r="I111" s="90">
        <f>IFERROR(I96/I90,"a.d.")</f>
        <v>0.40813427302273692</v>
      </c>
      <c r="J111" s="90">
        <f>IFERROR(J96/J90,"a.d.")</f>
        <v>0.32767899561516228</v>
      </c>
      <c r="K111" s="90">
        <f>IFERROR(K96/K90,"a.d.")</f>
        <v>0.33435722989439476</v>
      </c>
      <c r="L111" s="90">
        <f>IFERROR(L96/L90,"a.d.")</f>
        <v>0.28870617558765665</v>
      </c>
      <c r="M111" s="90">
        <f>IFERROR(M96/M90,"a.d.")</f>
        <v>0.23097481172256226</v>
      </c>
      <c r="N111" s="90">
        <f>IFERROR(N96/N90,"a.d.")</f>
        <v>0.34261886239875539</v>
      </c>
      <c r="O111" s="90">
        <f>IFERROR(O96/O90,"a.d.")</f>
        <v>0.26895851926109759</v>
      </c>
      <c r="P111" s="90">
        <f>IFERROR(P96/P90,"a.d.")</f>
        <v>0.24879939825261813</v>
      </c>
      <c r="Q111" s="90">
        <f>IFERROR(Q96/Q90,"a.d.")</f>
        <v>0.23578897728636367</v>
      </c>
      <c r="R111" s="90">
        <f>IFERROR(R96/R90,"a.d.")</f>
        <v>0.19825635655391066</v>
      </c>
    </row>
    <row r="112" spans="1:18" ht="15" customHeight="1" outlineLevel="1" x14ac:dyDescent="0.2">
      <c r="B112" s="24" t="s">
        <v>200</v>
      </c>
      <c r="C112" s="90">
        <f>IFERROR(C97/C91,"a.d.")</f>
        <v>-2.625733808103166</v>
      </c>
      <c r="D112" s="90">
        <f>IFERROR(D97/D91,"a.d.")</f>
        <v>-2.3370356185369587</v>
      </c>
      <c r="E112" s="90">
        <f>IFERROR(E97/E91,"a.d.")</f>
        <v>-1.4582594907191486</v>
      </c>
      <c r="F112" s="90">
        <f>IFERROR(F97/F91,"a.d.")</f>
        <v>-1.5173659349819402</v>
      </c>
      <c r="G112" s="90">
        <f>IFERROR(G97/G91,"a.d.")</f>
        <v>-1.9128137384412152</v>
      </c>
      <c r="H112" s="90">
        <f>IFERROR(H97/H91,"a.d.")</f>
        <v>-1.9721693034042906</v>
      </c>
      <c r="I112" s="90">
        <f>IFERROR(I97/I91,"a.d.")</f>
        <v>-1.0103235246301419</v>
      </c>
      <c r="J112" s="90">
        <f>IFERROR(J97/J91,"a.d.")</f>
        <v>-1.9206855990589815</v>
      </c>
      <c r="K112" s="90">
        <f>IFERROR(K97/K91,"a.d.")</f>
        <v>-0.99642576933135729</v>
      </c>
      <c r="L112" s="90">
        <f>IFERROR(L97/L91,"a.d.")</f>
        <v>-6.4650818458501274</v>
      </c>
      <c r="M112" s="90">
        <f>IFERROR(M97/M91,"a.d.")</f>
        <v>0.12339615352777225</v>
      </c>
      <c r="N112" s="90">
        <f>IFERROR(N97/N91,"a.d.")</f>
        <v>-1.8612941116388331</v>
      </c>
      <c r="O112" s="90">
        <f>IFERROR(O97/O91,"a.d.")</f>
        <v>-0.4957187922487607</v>
      </c>
      <c r="P112" s="90">
        <f>IFERROR(P97/P91,"a.d.")</f>
        <v>-0.57761176787708424</v>
      </c>
      <c r="Q112" s="90">
        <f>IFERROR(Q97/Q91,"a.d.")</f>
        <v>-0.61996280223186606</v>
      </c>
      <c r="R112" s="90">
        <f>IFERROR(R97/R91,"a.d.")</f>
        <v>-0.54441069152306354</v>
      </c>
    </row>
    <row r="113" spans="1:18" ht="15" customHeight="1" outlineLevel="1" x14ac:dyDescent="0.2">
      <c r="B113" s="43" t="s">
        <v>216</v>
      </c>
      <c r="C113" s="91">
        <f>IFERROR(C98/C92,"a.d.")</f>
        <v>0.20548022246646194</v>
      </c>
      <c r="D113" s="91">
        <f>IFERROR(D98/D92,"a.d.")</f>
        <v>0.12228953005388063</v>
      </c>
      <c r="E113" s="91">
        <f>IFERROR(E98/E92,"a.d.")</f>
        <v>0.13435042989944271</v>
      </c>
      <c r="F113" s="91">
        <f>IFERROR(F98/F92,"a.d.")</f>
        <v>3.6853338188359494E-2</v>
      </c>
      <c r="G113" s="91">
        <f>IFERROR(G98/G92,"a.d.")</f>
        <v>4.0915438426970756E-2</v>
      </c>
      <c r="H113" s="91">
        <f>IFERROR(H98/H92,"a.d.")</f>
        <v>8.472367098040294E-2</v>
      </c>
      <c r="I113" s="91">
        <f>IFERROR(I98/I92,"a.d.")</f>
        <v>1.03830292201849E-2</v>
      </c>
      <c r="J113" s="91">
        <f>IFERROR(J98/J92,"a.d.")</f>
        <v>2.4408622751207767E-2</v>
      </c>
      <c r="K113" s="91">
        <f>IFERROR(K98/K92,"a.d.")</f>
        <v>0.13616029795881435</v>
      </c>
      <c r="L113" s="91">
        <f>IFERROR(L98/L92,"a.d.")</f>
        <v>8.54938554665155E-2</v>
      </c>
      <c r="M113" s="91">
        <f>IFERROR(M98/M92,"a.d.")</f>
        <v>0.10838625313364687</v>
      </c>
      <c r="N113" s="91">
        <f>IFERROR(N98/N92,"a.d.")</f>
        <v>-9.3918137602391399E-2</v>
      </c>
      <c r="O113" s="91">
        <f>IFERROR(O98/O92,"a.d.")</f>
        <v>2.398115043809974E-2</v>
      </c>
      <c r="P113" s="91">
        <f>IFERROR(P98/P92,"a.d.")</f>
        <v>0.14767537912439019</v>
      </c>
      <c r="Q113" s="91">
        <f>IFERROR(Q98/Q92,"a.d.")</f>
        <v>8.5857108719300149E-2</v>
      </c>
      <c r="R113" s="91">
        <f>IFERROR(R98/R92,"a.d.")</f>
        <v>0.15235184859056849</v>
      </c>
    </row>
    <row r="114" spans="1:18" ht="15" customHeight="1" outlineLevel="1" x14ac:dyDescent="0.2">
      <c r="B114" s="42" t="s">
        <v>196</v>
      </c>
      <c r="C114" s="90">
        <f>IFERROR(C99/C87,"a.d.")</f>
        <v>0.19052346741408055</v>
      </c>
      <c r="D114" s="90">
        <f>IFERROR(D99/D87,"a.d.")</f>
        <v>8.6481925056191386E-2</v>
      </c>
      <c r="E114" s="90">
        <f>IFERROR(E99/E87,"a.d.")</f>
        <v>9.097377890023714E-2</v>
      </c>
      <c r="F114" s="90">
        <f>IFERROR(F99/F87,"a.d.")</f>
        <v>-3.2889403889800321E-2</v>
      </c>
      <c r="G114" s="90">
        <f>IFERROR(G99/G87,"a.d.")</f>
        <v>-5.0548881170961422E-2</v>
      </c>
      <c r="H114" s="90">
        <f>IFERROR(H99/H87,"a.d.")</f>
        <v>-9.5558731938592441E-3</v>
      </c>
      <c r="I114" s="90">
        <f>IFERROR(I99/I87,"a.d.")</f>
        <v>-0.18659845579312415</v>
      </c>
      <c r="J114" s="90">
        <f>IFERROR(J99/J87,"a.d.")</f>
        <v>-0.14075424201417192</v>
      </c>
      <c r="K114" s="90">
        <f>IFERROR(K99/K87,"a.d.")</f>
        <v>5.5685150260645268E-3</v>
      </c>
      <c r="L114" s="90">
        <f>IFERROR(L99/L87,"a.d.")</f>
        <v>-3.2564125196576088E-2</v>
      </c>
      <c r="M114" s="90">
        <f>IFERROR(M99/M87,"a.d.")</f>
        <v>1.905373766512105E-2</v>
      </c>
      <c r="N114" s="90">
        <f>IFERROR(N99/N87,"a.d.")</f>
        <v>-0.7508272601486411</v>
      </c>
      <c r="O114" s="90">
        <f>IFERROR(O99/O87,"a.d.")</f>
        <v>-0.32651460073273503</v>
      </c>
      <c r="P114" s="90">
        <f>IFERROR(P99/P87,"a.d.")</f>
        <v>7.0035041673627355E-2</v>
      </c>
      <c r="Q114" s="90">
        <f>IFERROR(Q99/Q87,"a.d.")</f>
        <v>-0.10561727293082473</v>
      </c>
      <c r="R114" s="90">
        <f>IFERROR(R99/R87,"a.d.")</f>
        <v>0.23006946998185843</v>
      </c>
    </row>
    <row r="115" spans="1:18" ht="15" customHeight="1" outlineLevel="1" x14ac:dyDescent="0.2">
      <c r="B115" s="24" t="s">
        <v>197</v>
      </c>
      <c r="C115" s="90">
        <f>IFERROR(C100/C88,"a.d.")</f>
        <v>9.0233048116381498E-2</v>
      </c>
      <c r="D115" s="90">
        <f>IFERROR(D100/D88,"a.d.")</f>
        <v>0.14632268650677696</v>
      </c>
      <c r="E115" s="90">
        <f>IFERROR(E100/E88,"a.d.")</f>
        <v>9.9805643850665829E-2</v>
      </c>
      <c r="F115" s="90">
        <f>IFERROR(F100/F88,"a.d.")</f>
        <v>3.7710118803362655E-2</v>
      </c>
      <c r="G115" s="90">
        <f>IFERROR(G100/G88,"a.d.")</f>
        <v>8.014610354653709E-2</v>
      </c>
      <c r="H115" s="90">
        <f>IFERROR(H100/H88,"a.d.")</f>
        <v>6.8389381493607043E-2</v>
      </c>
      <c r="I115" s="90">
        <f>IFERROR(I100/I88,"a.d.")</f>
        <v>0.12058630927469584</v>
      </c>
      <c r="J115" s="90">
        <f>IFERROR(J100/J88,"a.d.")</f>
        <v>0.17659367303341977</v>
      </c>
      <c r="K115" s="90">
        <f>IFERROR(K100/K88,"a.d.")</f>
        <v>0.19885781508599065</v>
      </c>
      <c r="L115" s="90">
        <f>IFERROR(L100/L88,"a.d.")</f>
        <v>0.14706700830646774</v>
      </c>
      <c r="M115" s="90">
        <f>IFERROR(M100/M88,"a.d.")</f>
        <v>0.21240054579766499</v>
      </c>
      <c r="N115" s="90">
        <f>IFERROR(N100/N88,"a.d.")</f>
        <v>0.30700540571598206</v>
      </c>
      <c r="O115" s="90">
        <f>IFERROR(O100/O88,"a.d.")</f>
        <v>0.10936520474023219</v>
      </c>
      <c r="P115" s="90">
        <f>IFERROR(P100/P88,"a.d.")</f>
        <v>9.9888099958751586E-2</v>
      </c>
      <c r="Q115" s="90">
        <f>IFERROR(Q100/Q88,"a.d.")</f>
        <v>0.13757514692261918</v>
      </c>
      <c r="R115" s="90">
        <f>IFERROR(R100/R88,"a.d.")</f>
        <v>0.16189797349772136</v>
      </c>
    </row>
    <row r="116" spans="1:18" ht="15" customHeight="1" outlineLevel="1" x14ac:dyDescent="0.2">
      <c r="B116" s="24" t="s">
        <v>198</v>
      </c>
      <c r="C116" s="90">
        <f>IFERROR(C101/C89,"a.d.")</f>
        <v>-0.52449500812630589</v>
      </c>
      <c r="D116" s="90">
        <f>IFERROR(D101/D89,"a.d.")</f>
        <v>-6.1103810775295711E-3</v>
      </c>
      <c r="E116" s="90">
        <f>IFERROR(E101/E89,"a.d.")</f>
        <v>-0.11801223380841797</v>
      </c>
      <c r="F116" s="90">
        <f>IFERROR(F101/F89,"a.d.")</f>
        <v>-0.15031765558382904</v>
      </c>
      <c r="G116" s="90">
        <f>IFERROR(G101/G89,"a.d.")</f>
        <v>-1.3249042827887099</v>
      </c>
      <c r="H116" s="90">
        <f>IFERROR(H101/H89,"a.d.")</f>
        <v>-8.041154519196303E-2</v>
      </c>
      <c r="I116" s="90">
        <f>IFERROR(I101/I89,"a.d.")</f>
        <v>-0.24706556750559588</v>
      </c>
      <c r="J116" s="90">
        <f>IFERROR(J101/J89,"a.d.")</f>
        <v>-0.42770794797477402</v>
      </c>
      <c r="K116" s="90">
        <f>IFERROR(K101/K89,"a.d.")</f>
        <v>-5.7672118676302784</v>
      </c>
      <c r="L116" s="90">
        <f>IFERROR(L101/L89,"a.d.")</f>
        <v>-0.43010996485659225</v>
      </c>
      <c r="M116" s="90">
        <f>IFERROR(M101/M89,"a.d.")</f>
        <v>-0.34752243464689814</v>
      </c>
      <c r="N116" s="90">
        <f>IFERROR(N101/N89,"a.d.")</f>
        <v>-0.57280678148546815</v>
      </c>
      <c r="O116" s="90">
        <f>IFERROR(O101/O89,"a.d.")</f>
        <v>-0.97170408610529391</v>
      </c>
      <c r="P116" s="90">
        <f>IFERROR(P101/P89,"a.d.")</f>
        <v>0.34719062392278532</v>
      </c>
      <c r="Q116" s="90">
        <f>IFERROR(Q101/Q89,"a.d.")</f>
        <v>-0.21739716184659599</v>
      </c>
      <c r="R116" s="90">
        <f>IFERROR(R101/R89,"a.d.")</f>
        <v>-1.38853387574716E-2</v>
      </c>
    </row>
    <row r="117" spans="1:18" ht="15" customHeight="1" outlineLevel="1" x14ac:dyDescent="0.2">
      <c r="B117" s="24" t="s">
        <v>199</v>
      </c>
      <c r="C117" s="90">
        <f>IFERROR(C102/C90,"a.d.")</f>
        <v>0.1676513646345289</v>
      </c>
      <c r="D117" s="90">
        <f>IFERROR(D102/D90,"a.d.")</f>
        <v>0.24681607756650972</v>
      </c>
      <c r="E117" s="90">
        <f>IFERROR(E102/E90,"a.d.")</f>
        <v>0.14722096701310444</v>
      </c>
      <c r="F117" s="90">
        <f>IFERROR(F102/F90,"a.d.")</f>
        <v>0.25776867120603408</v>
      </c>
      <c r="G117" s="90">
        <f>IFERROR(G102/G90,"a.d.")</f>
        <v>0.18483727886417883</v>
      </c>
      <c r="H117" s="90">
        <f>IFERROR(H102/H90,"a.d.")</f>
        <v>0.31583033565383911</v>
      </c>
      <c r="I117" s="90">
        <f>IFERROR(I102/I90,"a.d.")</f>
        <v>0.33997214195131087</v>
      </c>
      <c r="J117" s="90">
        <f>IFERROR(J102/J90,"a.d.")</f>
        <v>0.21812036106762611</v>
      </c>
      <c r="K117" s="90">
        <f>IFERROR(K102/K90,"a.d.")</f>
        <v>0.27100257243433523</v>
      </c>
      <c r="L117" s="90">
        <f>IFERROR(L102/L90,"a.d.")</f>
        <v>0.17010103226918949</v>
      </c>
      <c r="M117" s="90">
        <f>IFERROR(M102/M90,"a.d.")</f>
        <v>0.15015654528530731</v>
      </c>
      <c r="N117" s="90">
        <f>IFERROR(N102/N90,"a.d.")</f>
        <v>0.33090994371482174</v>
      </c>
      <c r="O117" s="90">
        <f>IFERROR(O102/O90,"a.d.")</f>
        <v>0.24334633299509764</v>
      </c>
      <c r="P117" s="90">
        <f>IFERROR(P102/P90,"a.d.")</f>
        <v>0.21283631314007975</v>
      </c>
      <c r="Q117" s="90">
        <f>IFERROR(Q102/Q90,"a.d.")</f>
        <v>0.22498900002315791</v>
      </c>
      <c r="R117" s="90">
        <f>IFERROR(R102/R90,"a.d.")</f>
        <v>0.28307324061980355</v>
      </c>
    </row>
    <row r="118" spans="1:18" ht="15" customHeight="1" outlineLevel="1" x14ac:dyDescent="0.2">
      <c r="B118" s="24" t="s">
        <v>200</v>
      </c>
      <c r="C118" s="90">
        <f>IFERROR(C103/C91,"a.d.")</f>
        <v>2.9998075257434316</v>
      </c>
      <c r="D118" s="90">
        <f>IFERROR(D103/D91,"a.d.")</f>
        <v>1.4789352738414399</v>
      </c>
      <c r="E118" s="90">
        <f>IFERROR(E103/E91,"a.d.")</f>
        <v>-0.96931256412648037</v>
      </c>
      <c r="F118" s="90">
        <f>IFERROR(F103/F91,"a.d.")</f>
        <v>0.41131795869222887</v>
      </c>
      <c r="G118" s="90">
        <f>IFERROR(G103/G91,"a.d.")</f>
        <v>3.8932628797886393</v>
      </c>
      <c r="H118" s="90">
        <f>IFERROR(H103/H91,"a.d.")</f>
        <v>2.8493332228940615</v>
      </c>
      <c r="I118" s="90">
        <f>IFERROR(I103/I91,"a.d.")</f>
        <v>8.3965208909120488</v>
      </c>
      <c r="J118" s="90">
        <f>IFERROR(J103/J91,"a.d.")</f>
        <v>-8.2991934128717837</v>
      </c>
      <c r="K118" s="90">
        <f>IFERROR(K103/K91,"a.d.")</f>
        <v>7.4670037485833838</v>
      </c>
      <c r="L118" s="90">
        <f>IFERROR(L103/L91,"a.d.")</f>
        <v>12.745249650407175</v>
      </c>
      <c r="M118" s="90">
        <f>IFERROR(M103/M91,"a.d.")</f>
        <v>3.7447642173229214</v>
      </c>
      <c r="N118" s="90">
        <f>IFERROR(N103/N91,"a.d.")</f>
        <v>22.84393034063633</v>
      </c>
      <c r="O118" s="90">
        <f>IFERROR(O103/O91,"a.d.")</f>
        <v>16.572825597115816</v>
      </c>
      <c r="P118" s="90">
        <f>IFERROR(P103/P91,"a.d.")</f>
        <v>9.0968847471985868</v>
      </c>
      <c r="Q118" s="90">
        <f>IFERROR(Q103/Q91,"a.d.")</f>
        <v>9.334159950402972</v>
      </c>
      <c r="R118" s="90">
        <f>IFERROR(R103/R91,"a.d.")</f>
        <v>-3.2116141214654377</v>
      </c>
    </row>
    <row r="119" spans="1:18" ht="15" customHeight="1" outlineLevel="1" x14ac:dyDescent="0.2">
      <c r="A119" s="55" t="s">
        <v>164</v>
      </c>
      <c r="B119" s="43" t="s">
        <v>217</v>
      </c>
      <c r="C119" s="91">
        <f>IFERROR(C104/C92,"a.d.")</f>
        <v>0.17022533950026572</v>
      </c>
      <c r="D119" s="91">
        <f>IFERROR(D104/D92,"a.d.")</f>
        <v>0.10715777329258114</v>
      </c>
      <c r="E119" s="91">
        <f>IFERROR(E104/E92,"a.d.")</f>
        <v>8.5922381384799046E-2</v>
      </c>
      <c r="F119" s="91">
        <f>IFERROR(F104/F92,"a.d.")</f>
        <v>-6.4992428639129964E-3</v>
      </c>
      <c r="G119" s="91">
        <f>IFERROR(G104/G92,"a.d.")</f>
        <v>1.5340807560706037E-2</v>
      </c>
      <c r="H119" s="91">
        <f>IFERROR(H104/H92,"a.d.")</f>
        <v>3.5759385225813803E-2</v>
      </c>
      <c r="I119" s="91">
        <f>IFERROR(I104/I92,"a.d.")</f>
        <v>-4.9984386840984532E-3</v>
      </c>
      <c r="J119" s="91">
        <f>IFERROR(J104/J92,"a.d.")</f>
        <v>-5.8208248577032703E-2</v>
      </c>
      <c r="K119" s="91">
        <f>IFERROR(K104/K92,"a.d.")</f>
        <v>0.10799846250888054</v>
      </c>
      <c r="L119" s="91">
        <f>IFERROR(L104/L92,"a.d.")</f>
        <v>8.6921856009623905E-2</v>
      </c>
      <c r="M119" s="91">
        <f>IFERROR(M104/M92,"a.d.")</f>
        <v>0.13175960489513019</v>
      </c>
      <c r="N119" s="91">
        <f>IFERROR(N104/N92,"a.d.")</f>
        <v>-7.1076026835895409E-2</v>
      </c>
      <c r="O119" s="91">
        <f>IFERROR(O104/O92,"a.d.")</f>
        <v>1.8703597890111948E-2</v>
      </c>
      <c r="P119" s="91">
        <f>IFERROR(P104/P92,"a.d.")</f>
        <v>0.12560992399328771</v>
      </c>
      <c r="Q119" s="91">
        <f>IFERROR(Q104/Q92,"a.d.")</f>
        <v>8.8606238747215876E-2</v>
      </c>
      <c r="R119" s="91">
        <f>IFERROR(R104/R92,"a.d.")</f>
        <v>0.17497942331615443</v>
      </c>
    </row>
    <row r="122" spans="1:18" ht="20.100000000000001" customHeight="1" outlineLevel="1" x14ac:dyDescent="0.2">
      <c r="B122" s="32" t="s">
        <v>111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1:18" outlineLevel="1" x14ac:dyDescent="0.2">
      <c r="B123" s="34" t="s">
        <v>65</v>
      </c>
      <c r="C123" s="35" t="s">
        <v>187</v>
      </c>
      <c r="D123" s="35" t="s">
        <v>189</v>
      </c>
      <c r="E123" s="35" t="s">
        <v>192</v>
      </c>
      <c r="F123" s="35">
        <v>2019</v>
      </c>
      <c r="G123" s="35" t="s">
        <v>194</v>
      </c>
      <c r="H123" s="35" t="s">
        <v>206</v>
      </c>
      <c r="I123" s="35" t="s">
        <v>207</v>
      </c>
      <c r="J123" s="35">
        <v>2020</v>
      </c>
      <c r="K123" s="35" t="s">
        <v>220</v>
      </c>
      <c r="L123" s="35" t="s">
        <v>221</v>
      </c>
      <c r="M123" s="35" t="s">
        <v>223</v>
      </c>
      <c r="N123" s="35">
        <v>2021</v>
      </c>
      <c r="O123" s="35" t="s">
        <v>233</v>
      </c>
      <c r="P123" s="35" t="s">
        <v>234</v>
      </c>
      <c r="Q123" s="35" t="s">
        <v>235</v>
      </c>
      <c r="R123" s="35">
        <v>2022</v>
      </c>
    </row>
    <row r="124" spans="1:18" ht="15" customHeight="1" outlineLevel="1" x14ac:dyDescent="0.2">
      <c r="B124" s="42" t="s">
        <v>112</v>
      </c>
      <c r="C124" s="3">
        <v>4520.4250000000002</v>
      </c>
      <c r="D124" s="3">
        <v>4292.25</v>
      </c>
      <c r="E124" s="3">
        <v>3977.0259999999998</v>
      </c>
      <c r="F124" s="3">
        <v>4094.625</v>
      </c>
      <c r="G124" s="3">
        <v>3935.45</v>
      </c>
      <c r="H124" s="3">
        <v>3014.76</v>
      </c>
      <c r="I124" s="3">
        <v>2944.223</v>
      </c>
      <c r="J124" s="3">
        <v>3259.116</v>
      </c>
      <c r="K124" s="3">
        <v>3413.2109999999998</v>
      </c>
      <c r="L124" s="3">
        <v>3174.4409999999998</v>
      </c>
      <c r="M124" s="3">
        <v>3837.9250000000002</v>
      </c>
      <c r="N124" s="3">
        <v>5064.1080000000002</v>
      </c>
      <c r="O124" s="3">
        <v>3244.9789999999998</v>
      </c>
      <c r="P124" s="3">
        <v>3463.4070000000002</v>
      </c>
      <c r="Q124" s="3">
        <v>4145.6509999999998</v>
      </c>
      <c r="R124" s="3">
        <v>4151.5309999999999</v>
      </c>
    </row>
    <row r="125" spans="1:18" ht="15" customHeight="1" outlineLevel="1" x14ac:dyDescent="0.2">
      <c r="B125" s="24" t="s">
        <v>113</v>
      </c>
      <c r="C125" s="3">
        <v>2323.915</v>
      </c>
      <c r="D125" s="3">
        <v>2086.7939999999999</v>
      </c>
      <c r="E125" s="3">
        <v>1399.9860000000001</v>
      </c>
      <c r="F125" s="3">
        <v>1953.336</v>
      </c>
      <c r="G125" s="3">
        <v>1564.829</v>
      </c>
      <c r="H125" s="3">
        <v>1238.316</v>
      </c>
      <c r="I125" s="3">
        <v>1356.6510000000001</v>
      </c>
      <c r="J125" s="3">
        <v>2038.8510000000001</v>
      </c>
      <c r="K125" s="3">
        <v>2431.663</v>
      </c>
      <c r="L125" s="3">
        <v>2513.5459999999998</v>
      </c>
      <c r="M125" s="3">
        <v>2351.5279999999998</v>
      </c>
      <c r="N125" s="3">
        <v>2814.22</v>
      </c>
      <c r="O125" s="3">
        <v>4536.63</v>
      </c>
      <c r="P125" s="3">
        <v>4349</v>
      </c>
      <c r="Q125" s="3">
        <v>4713.1570000000002</v>
      </c>
      <c r="R125" s="3">
        <v>4152.3289999999997</v>
      </c>
    </row>
    <row r="126" spans="1:18" ht="15" customHeight="1" outlineLevel="1" x14ac:dyDescent="0.2">
      <c r="B126" s="24" t="s">
        <v>114</v>
      </c>
      <c r="C126" s="3">
        <v>1151.3779999999999</v>
      </c>
      <c r="D126" s="3">
        <v>1225.769</v>
      </c>
      <c r="E126" s="3">
        <v>1739.1</v>
      </c>
      <c r="F126" s="3">
        <v>1448.934</v>
      </c>
      <c r="G126" s="3">
        <v>1498.932</v>
      </c>
      <c r="H126" s="3">
        <v>1797.3820000000001</v>
      </c>
      <c r="I126" s="3">
        <v>1910.8779999999999</v>
      </c>
      <c r="J126" s="3">
        <v>2033.5450000000001</v>
      </c>
      <c r="K126" s="3">
        <v>2132.7139999999999</v>
      </c>
      <c r="L126" s="3">
        <v>2433.31</v>
      </c>
      <c r="M126" s="3">
        <v>2942.8040000000001</v>
      </c>
      <c r="N126" s="3">
        <v>3952.2359999999999</v>
      </c>
      <c r="O126" s="3">
        <v>5211.5609999999997</v>
      </c>
      <c r="P126" s="3">
        <v>5635.7030000000004</v>
      </c>
      <c r="Q126" s="3">
        <v>7538.3519999999999</v>
      </c>
      <c r="R126" s="3">
        <v>7930.8729999999996</v>
      </c>
    </row>
    <row r="127" spans="1:18" ht="15" customHeight="1" outlineLevel="1" x14ac:dyDescent="0.2">
      <c r="B127" s="24" t="s">
        <v>115</v>
      </c>
      <c r="C127" s="3">
        <v>2044.829</v>
      </c>
      <c r="D127" s="3">
        <v>2051.9180000000001</v>
      </c>
      <c r="E127" s="3">
        <v>2061.1680000000001</v>
      </c>
      <c r="F127" s="3">
        <v>2135.2060000000001</v>
      </c>
      <c r="G127" s="3">
        <v>2230.002</v>
      </c>
      <c r="H127" s="3">
        <v>2407.8719999999998</v>
      </c>
      <c r="I127" s="3">
        <v>2562.8180000000002</v>
      </c>
      <c r="J127" s="3">
        <v>2576.9749999999999</v>
      </c>
      <c r="K127" s="3">
        <v>2730.4549999999999</v>
      </c>
      <c r="L127" s="3">
        <v>2810.14</v>
      </c>
      <c r="M127" s="3">
        <v>2817.2649999999999</v>
      </c>
      <c r="N127" s="3">
        <v>3441.5250000000001</v>
      </c>
      <c r="O127" s="3">
        <v>3694.7330000000002</v>
      </c>
      <c r="P127" s="3">
        <v>4016.694</v>
      </c>
      <c r="Q127" s="3">
        <v>4231.1980000000003</v>
      </c>
      <c r="R127" s="3">
        <v>4455.0129999999999</v>
      </c>
    </row>
    <row r="128" spans="1:18" ht="15" customHeight="1" outlineLevel="1" x14ac:dyDescent="0.2">
      <c r="B128" s="24" t="s">
        <v>116</v>
      </c>
      <c r="C128" s="3">
        <v>121.779</v>
      </c>
      <c r="D128" s="3">
        <v>127.13500000000001</v>
      </c>
      <c r="E128" s="3">
        <v>193.32400000000001</v>
      </c>
      <c r="F128" s="3">
        <v>106.459</v>
      </c>
      <c r="G128" s="3">
        <v>134.13300000000001</v>
      </c>
      <c r="H128" s="3">
        <v>131.92599999999999</v>
      </c>
      <c r="I128" s="3">
        <v>135.303</v>
      </c>
      <c r="J128" s="3">
        <v>136.095</v>
      </c>
      <c r="K128" s="3">
        <v>141.27799999999999</v>
      </c>
      <c r="L128" s="3">
        <v>132.12799999999999</v>
      </c>
      <c r="M128" s="3">
        <v>129.52199999999999</v>
      </c>
      <c r="N128" s="3">
        <v>150.69900000000001</v>
      </c>
      <c r="O128" s="3">
        <v>155.48599999999999</v>
      </c>
      <c r="P128" s="3">
        <v>161.39599999999999</v>
      </c>
      <c r="Q128" s="3">
        <v>161.63</v>
      </c>
      <c r="R128" s="3">
        <v>165.607</v>
      </c>
    </row>
    <row r="129" spans="1:18" ht="15" customHeight="1" outlineLevel="1" x14ac:dyDescent="0.2">
      <c r="B129" s="43" t="s">
        <v>117</v>
      </c>
      <c r="C129" s="44">
        <v>13435.368</v>
      </c>
      <c r="D129" s="44">
        <v>12460.67</v>
      </c>
      <c r="E129" s="44">
        <v>12241.508</v>
      </c>
      <c r="F129" s="44">
        <v>12663.147999999999</v>
      </c>
      <c r="G129" s="44">
        <v>12662.343999999999</v>
      </c>
      <c r="H129" s="44">
        <v>12719.023999999999</v>
      </c>
      <c r="I129" s="44">
        <v>14616.946</v>
      </c>
      <c r="J129" s="44">
        <v>13917.032999999999</v>
      </c>
      <c r="K129" s="44">
        <v>15628.932000000001</v>
      </c>
      <c r="L129" s="44">
        <v>15975.706</v>
      </c>
      <c r="M129" s="44">
        <v>17405.184000000001</v>
      </c>
      <c r="N129" s="44">
        <v>21913.573</v>
      </c>
      <c r="O129" s="44">
        <v>25796.661</v>
      </c>
      <c r="P129" s="44">
        <v>27998.073</v>
      </c>
      <c r="Q129" s="44">
        <v>32051.028999999999</v>
      </c>
      <c r="R129" s="44">
        <v>32187.365000000002</v>
      </c>
    </row>
    <row r="130" spans="1:18" ht="15" customHeight="1" outlineLevel="1" x14ac:dyDescent="0.2">
      <c r="B130" s="24" t="s">
        <v>118</v>
      </c>
      <c r="C130" s="3">
        <v>3004.8710000000001</v>
      </c>
      <c r="D130" s="3">
        <v>2922.511</v>
      </c>
      <c r="E130" s="3">
        <v>2903.4319999999998</v>
      </c>
      <c r="F130" s="3">
        <v>3330.48</v>
      </c>
      <c r="G130" s="3">
        <v>3514.3130000000001</v>
      </c>
      <c r="H130" s="3">
        <v>3654.4549999999999</v>
      </c>
      <c r="I130" s="3">
        <v>4086.4209999999998</v>
      </c>
      <c r="J130" s="3">
        <v>3418.087</v>
      </c>
      <c r="K130" s="3">
        <v>4193.1940000000004</v>
      </c>
      <c r="L130" s="3">
        <v>4048.2440000000001</v>
      </c>
      <c r="M130" s="3">
        <v>4476.7449999999999</v>
      </c>
      <c r="N130" s="3">
        <v>6832.598</v>
      </c>
      <c r="O130" s="3">
        <v>7909.4629999999997</v>
      </c>
      <c r="P130" s="3">
        <v>8526.3469999999998</v>
      </c>
      <c r="Q130" s="3">
        <v>10107.763999999999</v>
      </c>
      <c r="R130" s="3">
        <v>10566.300999999999</v>
      </c>
    </row>
    <row r="131" spans="1:18" ht="15" customHeight="1" outlineLevel="1" x14ac:dyDescent="0.2">
      <c r="B131" s="24" t="s">
        <v>119</v>
      </c>
      <c r="C131" s="3">
        <v>672.59199999999998</v>
      </c>
      <c r="D131" s="3">
        <v>667.80100000000004</v>
      </c>
      <c r="E131" s="3">
        <v>703.11400000000003</v>
      </c>
      <c r="F131" s="3">
        <v>570.27</v>
      </c>
      <c r="G131" s="3">
        <v>399.77900000000005</v>
      </c>
      <c r="H131" s="3">
        <v>874.1880000000001</v>
      </c>
      <c r="I131" s="3">
        <v>1702.9839999999999</v>
      </c>
      <c r="J131" s="3">
        <v>2023.1509999999998</v>
      </c>
      <c r="K131" s="3">
        <v>2207.2350000000001</v>
      </c>
      <c r="L131" s="3">
        <v>2175.8009999999999</v>
      </c>
      <c r="M131" s="3">
        <v>2373.1149999999998</v>
      </c>
      <c r="N131" s="3">
        <v>3106.5529999999999</v>
      </c>
      <c r="O131" s="3">
        <v>4312.2710000000006</v>
      </c>
      <c r="P131" s="3">
        <v>4697.9560000000001</v>
      </c>
      <c r="Q131" s="3">
        <v>5145.9340000000002</v>
      </c>
      <c r="R131" s="3">
        <v>2545.9650000000001</v>
      </c>
    </row>
    <row r="132" spans="1:18" ht="15" customHeight="1" outlineLevel="1" x14ac:dyDescent="0.2">
      <c r="B132" s="24" t="s">
        <v>120</v>
      </c>
      <c r="C132" s="3">
        <v>97.45</v>
      </c>
      <c r="D132" s="3">
        <v>111.151</v>
      </c>
      <c r="E132" s="3">
        <v>69.896000000000001</v>
      </c>
      <c r="F132" s="3">
        <v>215.458</v>
      </c>
      <c r="G132" s="3">
        <v>302.35599999999999</v>
      </c>
      <c r="H132" s="3">
        <v>337.83699999999999</v>
      </c>
      <c r="I132" s="3">
        <v>341.137</v>
      </c>
      <c r="J132" s="3">
        <v>272.613</v>
      </c>
      <c r="K132" s="3">
        <v>273.76600000000002</v>
      </c>
      <c r="L132" s="3">
        <v>288.44299999999998</v>
      </c>
      <c r="M132" s="3">
        <v>274.48200000000003</v>
      </c>
      <c r="N132" s="3">
        <v>324.786</v>
      </c>
      <c r="O132" s="3">
        <v>314.48099999999999</v>
      </c>
      <c r="P132" s="3">
        <v>332.51499999999999</v>
      </c>
      <c r="Q132" s="3">
        <v>287.86099999999999</v>
      </c>
      <c r="R132" s="3">
        <v>1997.2249999999999</v>
      </c>
    </row>
    <row r="133" spans="1:18" ht="15" customHeight="1" outlineLevel="1" x14ac:dyDescent="0.2">
      <c r="B133" s="24" t="s">
        <v>121</v>
      </c>
      <c r="C133" s="3">
        <v>4874.2209999999995</v>
      </c>
      <c r="D133" s="3">
        <v>5171.0259999999998</v>
      </c>
      <c r="E133" s="3">
        <v>5391.201</v>
      </c>
      <c r="F133" s="3">
        <v>5496.87</v>
      </c>
      <c r="G133" s="3">
        <v>5397.6819999999998</v>
      </c>
      <c r="H133" s="3">
        <v>5688.598</v>
      </c>
      <c r="I133" s="3">
        <v>6225.5420000000004</v>
      </c>
      <c r="J133" s="3">
        <v>5810.9</v>
      </c>
      <c r="K133" s="3">
        <v>6508.86</v>
      </c>
      <c r="L133" s="3">
        <v>6915.9849999999997</v>
      </c>
      <c r="M133" s="3">
        <v>7417.35</v>
      </c>
      <c r="N133" s="3">
        <v>7725.46</v>
      </c>
      <c r="O133" s="3">
        <v>7733.6229999999996</v>
      </c>
      <c r="P133" s="3">
        <v>8955.8220000000001</v>
      </c>
      <c r="Q133" s="3">
        <v>9672.8340000000007</v>
      </c>
      <c r="R133" s="3">
        <v>10590.2</v>
      </c>
    </row>
    <row r="134" spans="1:18" ht="15" customHeight="1" outlineLevel="1" x14ac:dyDescent="0.2">
      <c r="A134" s="55" t="s">
        <v>164</v>
      </c>
      <c r="B134" s="43" t="s">
        <v>122</v>
      </c>
      <c r="C134" s="44">
        <v>13435.368</v>
      </c>
      <c r="D134" s="44">
        <v>12460.67</v>
      </c>
      <c r="E134" s="44">
        <v>12241.508</v>
      </c>
      <c r="F134" s="44">
        <v>12663.147999999999</v>
      </c>
      <c r="G134" s="44">
        <v>12662.343999999999</v>
      </c>
      <c r="H134" s="44">
        <v>12719.023999999999</v>
      </c>
      <c r="I134" s="44">
        <v>14616.946</v>
      </c>
      <c r="J134" s="44">
        <v>13917.032999999999</v>
      </c>
      <c r="K134" s="44">
        <v>15628.932000000001</v>
      </c>
      <c r="L134" s="44">
        <v>15975.706</v>
      </c>
      <c r="M134" s="44">
        <v>17405.184000000001</v>
      </c>
      <c r="N134" s="44">
        <v>21913.573</v>
      </c>
      <c r="O134" s="44">
        <v>25796.661</v>
      </c>
      <c r="P134" s="44">
        <v>27998.073</v>
      </c>
      <c r="Q134" s="44">
        <v>32051.028999999999</v>
      </c>
      <c r="R134" s="44">
        <v>32187.365000000002</v>
      </c>
    </row>
    <row r="137" spans="1:18" ht="19.5" customHeight="1" outlineLevel="1" x14ac:dyDescent="0.2">
      <c r="B137" s="32" t="s">
        <v>154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1:18" outlineLevel="1" x14ac:dyDescent="0.2">
      <c r="B138" s="34" t="s">
        <v>65</v>
      </c>
      <c r="C138" s="35" t="s">
        <v>187</v>
      </c>
      <c r="D138" s="35" t="s">
        <v>189</v>
      </c>
      <c r="E138" s="35" t="s">
        <v>192</v>
      </c>
      <c r="F138" s="35">
        <v>2019</v>
      </c>
      <c r="G138" s="35" t="s">
        <v>194</v>
      </c>
      <c r="H138" s="35" t="s">
        <v>206</v>
      </c>
      <c r="I138" s="35" t="s">
        <v>207</v>
      </c>
      <c r="J138" s="35">
        <v>2020</v>
      </c>
      <c r="K138" s="35" t="s">
        <v>220</v>
      </c>
      <c r="L138" s="35" t="s">
        <v>221</v>
      </c>
      <c r="M138" s="35" t="s">
        <v>223</v>
      </c>
      <c r="N138" s="35">
        <v>2021</v>
      </c>
      <c r="O138" s="35" t="s">
        <v>233</v>
      </c>
      <c r="P138" s="35" t="s">
        <v>234</v>
      </c>
      <c r="Q138" s="35" t="s">
        <v>235</v>
      </c>
      <c r="R138" s="35">
        <v>2022</v>
      </c>
    </row>
    <row r="139" spans="1:18" ht="15" customHeight="1" outlineLevel="1" x14ac:dyDescent="0.2">
      <c r="B139" s="42" t="s">
        <v>196</v>
      </c>
      <c r="D139" s="3"/>
      <c r="E139" s="3"/>
      <c r="F139" s="3">
        <v>6881.3549999999996</v>
      </c>
      <c r="G139" s="3">
        <v>6211.6890000000003</v>
      </c>
      <c r="H139" s="3">
        <v>5875.2</v>
      </c>
      <c r="I139" s="3">
        <v>7185.3320000000003</v>
      </c>
      <c r="J139" s="3">
        <v>6553.4390000000003</v>
      </c>
      <c r="K139" s="3">
        <v>7316.5940000000001</v>
      </c>
      <c r="L139" s="3">
        <v>7188.93</v>
      </c>
      <c r="M139" s="3">
        <v>7338.9170000000004</v>
      </c>
      <c r="N139" s="3">
        <v>9253.027</v>
      </c>
      <c r="O139" s="3">
        <v>10632.121999999999</v>
      </c>
      <c r="P139" s="3">
        <v>11592.246999999999</v>
      </c>
      <c r="Q139" s="3">
        <v>12443.895</v>
      </c>
      <c r="R139" s="3">
        <v>13423.201999999999</v>
      </c>
    </row>
    <row r="140" spans="1:18" ht="15" customHeight="1" outlineLevel="1" x14ac:dyDescent="0.2">
      <c r="B140" s="24" t="s">
        <v>197</v>
      </c>
      <c r="D140" s="3"/>
      <c r="E140" s="3"/>
      <c r="F140" s="3">
        <v>3174.4270000000001</v>
      </c>
      <c r="G140" s="3">
        <v>3071.2510000000002</v>
      </c>
      <c r="H140" s="3">
        <v>3198.4140000000002</v>
      </c>
      <c r="I140" s="3">
        <v>3406.3119999999999</v>
      </c>
      <c r="J140" s="3">
        <v>3588.933</v>
      </c>
      <c r="K140" s="3">
        <v>4419.1859999999997</v>
      </c>
      <c r="L140" s="3">
        <v>4532.8779999999997</v>
      </c>
      <c r="M140" s="3">
        <v>5593.8710000000001</v>
      </c>
      <c r="N140" s="3">
        <v>7381.8360000000002</v>
      </c>
      <c r="O140" s="3">
        <v>9192.2170000000006</v>
      </c>
      <c r="P140" s="3">
        <v>9701.8880000000008</v>
      </c>
      <c r="Q140" s="3">
        <v>12437.745000000001</v>
      </c>
      <c r="R140" s="3">
        <v>12814.44</v>
      </c>
    </row>
    <row r="141" spans="1:18" ht="15" customHeight="1" outlineLevel="1" x14ac:dyDescent="0.2">
      <c r="B141" s="24" t="s">
        <v>198</v>
      </c>
      <c r="D141" s="3"/>
      <c r="E141" s="3"/>
      <c r="F141" s="3">
        <v>300.96699999999998</v>
      </c>
      <c r="G141" s="3">
        <v>302.99299999999999</v>
      </c>
      <c r="H141" s="3">
        <v>409.42200000000003</v>
      </c>
      <c r="I141" s="3">
        <v>425.06799999999998</v>
      </c>
      <c r="J141" s="3">
        <v>383.63799999999998</v>
      </c>
      <c r="K141" s="3">
        <v>369.476</v>
      </c>
      <c r="L141" s="3">
        <v>428.03199999999998</v>
      </c>
      <c r="M141" s="3">
        <v>427.87200000000001</v>
      </c>
      <c r="N141" s="3">
        <v>380.05799999999999</v>
      </c>
      <c r="O141" s="3">
        <v>354.16899999999998</v>
      </c>
      <c r="P141" s="3">
        <v>453.15800000000002</v>
      </c>
      <c r="Q141" s="3">
        <v>506.38299999999998</v>
      </c>
      <c r="R141" s="3">
        <v>611.50800000000004</v>
      </c>
    </row>
    <row r="142" spans="1:18" ht="15" customHeight="1" outlineLevel="1" x14ac:dyDescent="0.2">
      <c r="B142" s="24" t="s">
        <v>199</v>
      </c>
      <c r="D142" s="3"/>
      <c r="E142" s="3"/>
      <c r="F142" s="3">
        <v>350.74200000000002</v>
      </c>
      <c r="G142" s="3">
        <v>281.649</v>
      </c>
      <c r="H142" s="3">
        <v>543.62199999999996</v>
      </c>
      <c r="I142" s="3">
        <v>568.53800000000001</v>
      </c>
      <c r="J142" s="3">
        <v>564.70500000000004</v>
      </c>
      <c r="K142" s="3">
        <v>507.56400000000002</v>
      </c>
      <c r="L142" s="3">
        <v>515.68100000000004</v>
      </c>
      <c r="M142" s="3">
        <v>567.17399999999998</v>
      </c>
      <c r="N142" s="3">
        <v>600.51400000000001</v>
      </c>
      <c r="O142" s="3">
        <v>449.85399999999998</v>
      </c>
      <c r="P142" s="3">
        <v>445.46600000000001</v>
      </c>
      <c r="Q142" s="3">
        <v>546.99599999999998</v>
      </c>
      <c r="R142" s="3">
        <v>646.88199999999995</v>
      </c>
    </row>
    <row r="143" spans="1:18" ht="15" customHeight="1" outlineLevel="1" x14ac:dyDescent="0.2">
      <c r="B143" s="24" t="s">
        <v>200</v>
      </c>
      <c r="D143" s="3"/>
      <c r="E143" s="3"/>
      <c r="F143" s="3">
        <v>1955.6569999999999</v>
      </c>
      <c r="G143" s="3">
        <v>2794.7620000000002</v>
      </c>
      <c r="H143" s="3">
        <v>2692.366</v>
      </c>
      <c r="I143" s="3">
        <v>3031.6959999999999</v>
      </c>
      <c r="J143" s="3">
        <v>2826.3180000000002</v>
      </c>
      <c r="K143" s="3">
        <v>3016.1120000000001</v>
      </c>
      <c r="L143" s="3">
        <v>3310.1849999999999</v>
      </c>
      <c r="M143" s="3">
        <v>3477.35</v>
      </c>
      <c r="N143" s="3">
        <v>4298.1379999999999</v>
      </c>
      <c r="O143" s="3">
        <v>5168.299</v>
      </c>
      <c r="P143" s="3">
        <v>5805.3140000000003</v>
      </c>
      <c r="Q143" s="3">
        <v>6116.01</v>
      </c>
      <c r="R143" s="3">
        <v>4961.3329999999996</v>
      </c>
    </row>
    <row r="144" spans="1:18" ht="15" customHeight="1" outlineLevel="1" x14ac:dyDescent="0.2">
      <c r="B144" s="43" t="s">
        <v>155</v>
      </c>
      <c r="C144" s="44">
        <v>13435.368</v>
      </c>
      <c r="D144" s="44">
        <v>12460.67</v>
      </c>
      <c r="E144" s="44">
        <v>12241.508</v>
      </c>
      <c r="F144" s="44">
        <v>12663.147999999999</v>
      </c>
      <c r="G144" s="44">
        <v>12662.343999999999</v>
      </c>
      <c r="H144" s="44">
        <v>12719.023999999999</v>
      </c>
      <c r="I144" s="44">
        <v>14616.946</v>
      </c>
      <c r="J144" s="44">
        <v>13917.032999999999</v>
      </c>
      <c r="K144" s="44">
        <v>15628.932000000001</v>
      </c>
      <c r="L144" s="44">
        <v>15975.706</v>
      </c>
      <c r="M144" s="44">
        <v>17405.184000000001</v>
      </c>
      <c r="N144" s="44">
        <v>21913.573</v>
      </c>
      <c r="O144" s="44">
        <v>25796.661</v>
      </c>
      <c r="P144" s="44">
        <v>27998.073</v>
      </c>
      <c r="Q144" s="44">
        <v>32051.028999999999</v>
      </c>
      <c r="R144" s="44">
        <v>32187.365000000002</v>
      </c>
    </row>
    <row r="145" spans="2:18" ht="15" customHeight="1" outlineLevel="1" x14ac:dyDescent="0.2">
      <c r="B145" s="42" t="s">
        <v>196</v>
      </c>
      <c r="C145" s="3"/>
      <c r="D145" s="3"/>
      <c r="E145" s="3"/>
      <c r="F145" s="3">
        <v>4992.7</v>
      </c>
      <c r="G145" s="3">
        <v>4661.6379999999999</v>
      </c>
      <c r="H145" s="3">
        <v>4278.7280000000001</v>
      </c>
      <c r="I145" s="3">
        <v>5661.1490000000003</v>
      </c>
      <c r="J145" s="3">
        <v>5416.8339999999998</v>
      </c>
      <c r="K145" s="3">
        <v>6030.63</v>
      </c>
      <c r="L145" s="3">
        <v>5935.0929999999998</v>
      </c>
      <c r="M145" s="3">
        <v>6029.3639999999996</v>
      </c>
      <c r="N145" s="3">
        <v>9281.9030000000002</v>
      </c>
      <c r="O145" s="3">
        <v>11413.025</v>
      </c>
      <c r="P145" s="3">
        <v>11961.424999999999</v>
      </c>
      <c r="Q145" s="3">
        <v>12830.388000000001</v>
      </c>
      <c r="R145" s="3">
        <v>12324.405000000001</v>
      </c>
    </row>
    <row r="146" spans="2:18" ht="15" customHeight="1" outlineLevel="1" x14ac:dyDescent="0.2">
      <c r="B146" s="24" t="s">
        <v>197</v>
      </c>
      <c r="C146" s="3"/>
      <c r="D146" s="3"/>
      <c r="E146" s="3"/>
      <c r="F146" s="3">
        <v>1798.9490000000001</v>
      </c>
      <c r="G146" s="3">
        <v>1721.673</v>
      </c>
      <c r="H146" s="3">
        <v>1794.7070000000001</v>
      </c>
      <c r="I146" s="3">
        <v>2124.3330000000001</v>
      </c>
      <c r="J146" s="3">
        <v>2091.7530000000002</v>
      </c>
      <c r="K146" s="3">
        <v>2511.6640000000002</v>
      </c>
      <c r="L146" s="3">
        <v>2375.5430000000001</v>
      </c>
      <c r="M146" s="3">
        <v>3199.8159999999998</v>
      </c>
      <c r="N146" s="3">
        <v>3924.136</v>
      </c>
      <c r="O146" s="3">
        <v>5431.7349999999997</v>
      </c>
      <c r="P146" s="3">
        <v>6157.4780000000001</v>
      </c>
      <c r="Q146" s="3">
        <v>8496.8389999999999</v>
      </c>
      <c r="R146" s="3">
        <v>8193.9130000000005</v>
      </c>
    </row>
    <row r="147" spans="2:18" ht="15" customHeight="1" outlineLevel="1" x14ac:dyDescent="0.2">
      <c r="B147" s="24" t="s">
        <v>198</v>
      </c>
      <c r="C147" s="3"/>
      <c r="D147" s="3"/>
      <c r="E147" s="3"/>
      <c r="F147" s="3">
        <v>102.29900000000001</v>
      </c>
      <c r="G147" s="3">
        <v>114.741</v>
      </c>
      <c r="H147" s="3">
        <v>202.548</v>
      </c>
      <c r="I147" s="3">
        <v>215.62200000000001</v>
      </c>
      <c r="J147" s="3">
        <v>225.32400000000001</v>
      </c>
      <c r="K147" s="3">
        <v>237.703</v>
      </c>
      <c r="L147" s="3">
        <v>312.428</v>
      </c>
      <c r="M147" s="3">
        <v>333.77199999999999</v>
      </c>
      <c r="N147" s="3">
        <v>331.77600000000001</v>
      </c>
      <c r="O147" s="3">
        <v>321.59199999999998</v>
      </c>
      <c r="P147" s="3">
        <v>403.34100000000001</v>
      </c>
      <c r="Q147" s="3">
        <v>486.35500000000002</v>
      </c>
      <c r="R147" s="3">
        <v>404.2</v>
      </c>
    </row>
    <row r="148" spans="2:18" ht="15" customHeight="1" outlineLevel="1" x14ac:dyDescent="0.2">
      <c r="B148" s="24" t="s">
        <v>199</v>
      </c>
      <c r="C148" s="3"/>
      <c r="D148" s="3"/>
      <c r="E148" s="3"/>
      <c r="F148" s="3">
        <v>97.930999999999997</v>
      </c>
      <c r="G148" s="3">
        <v>166.15799999999999</v>
      </c>
      <c r="H148" s="3">
        <v>392.53300000000002</v>
      </c>
      <c r="I148" s="3">
        <v>111.916</v>
      </c>
      <c r="J148" s="3">
        <v>126.511</v>
      </c>
      <c r="K148" s="3">
        <v>141.79300000000001</v>
      </c>
      <c r="L148" s="3">
        <v>153.499</v>
      </c>
      <c r="M148" s="3">
        <v>132.58799999999999</v>
      </c>
      <c r="N148" s="3">
        <v>159.625</v>
      </c>
      <c r="O148" s="3">
        <v>240.99199999999999</v>
      </c>
      <c r="P148" s="3">
        <v>205.9</v>
      </c>
      <c r="Q148" s="3">
        <v>186.61699999999999</v>
      </c>
      <c r="R148" s="3">
        <v>232.411</v>
      </c>
    </row>
    <row r="149" spans="2:18" ht="15" customHeight="1" outlineLevel="1" x14ac:dyDescent="0.2">
      <c r="B149" s="24" t="s">
        <v>200</v>
      </c>
      <c r="C149" s="3"/>
      <c r="D149" s="3"/>
      <c r="E149" s="3"/>
      <c r="F149" s="3">
        <v>174.399</v>
      </c>
      <c r="G149" s="3">
        <v>600.452</v>
      </c>
      <c r="H149" s="3">
        <v>361.91</v>
      </c>
      <c r="I149" s="3">
        <v>278.38400000000001</v>
      </c>
      <c r="J149" s="3">
        <v>245.71100000000001</v>
      </c>
      <c r="K149" s="3">
        <v>198.28200000000001</v>
      </c>
      <c r="L149" s="3">
        <v>283.15800000000002</v>
      </c>
      <c r="M149" s="3">
        <v>292.29399999999998</v>
      </c>
      <c r="N149" s="3">
        <v>490.673</v>
      </c>
      <c r="O149" s="3">
        <v>655.69399999999996</v>
      </c>
      <c r="P149" s="3">
        <v>314.10700000000003</v>
      </c>
      <c r="Q149" s="3">
        <v>377.99599999999998</v>
      </c>
      <c r="R149" s="3">
        <v>442.23599999999999</v>
      </c>
    </row>
    <row r="150" spans="2:18" ht="15" customHeight="1" outlineLevel="1" x14ac:dyDescent="0.2">
      <c r="B150" s="43" t="s">
        <v>156</v>
      </c>
      <c r="C150" s="44">
        <v>8561.1470000000008</v>
      </c>
      <c r="D150" s="44">
        <v>7289.6440000000002</v>
      </c>
      <c r="E150" s="44">
        <v>6850.3069999999998</v>
      </c>
      <c r="F150" s="44">
        <v>7166.2780000000002</v>
      </c>
      <c r="G150" s="44">
        <v>7264.6620000000003</v>
      </c>
      <c r="H150" s="44">
        <v>7030.4260000000004</v>
      </c>
      <c r="I150" s="44">
        <v>8391.4040000000005</v>
      </c>
      <c r="J150" s="44">
        <v>8106.1329999999998</v>
      </c>
      <c r="K150" s="44">
        <v>9120.0720000000001</v>
      </c>
      <c r="L150" s="44">
        <v>9059.7209999999995</v>
      </c>
      <c r="M150" s="44">
        <v>9987.8340000000007</v>
      </c>
      <c r="N150" s="44">
        <v>14188.112999999999</v>
      </c>
      <c r="O150" s="44">
        <v>18063.038</v>
      </c>
      <c r="P150" s="44">
        <v>19042.251</v>
      </c>
      <c r="Q150" s="44">
        <v>22378.195</v>
      </c>
      <c r="R150" s="44">
        <v>21597.165000000001</v>
      </c>
    </row>
    <row r="151" spans="2:18" ht="15" customHeight="1" outlineLevel="1" x14ac:dyDescent="0.2">
      <c r="B151" s="42" t="s">
        <v>196</v>
      </c>
      <c r="C151" s="3"/>
      <c r="D151" s="3"/>
      <c r="E151" s="3"/>
      <c r="F151" s="3">
        <v>1582.2940000000001</v>
      </c>
      <c r="G151" s="3">
        <v>874.89599999999996</v>
      </c>
      <c r="H151" s="3">
        <v>1549.239</v>
      </c>
      <c r="I151" s="3">
        <v>1279.693</v>
      </c>
      <c r="J151" s="3">
        <v>965.36099999999999</v>
      </c>
      <c r="K151" s="3">
        <v>906.04</v>
      </c>
      <c r="L151" s="3">
        <v>813.93600000000004</v>
      </c>
      <c r="M151" s="3">
        <v>861.01300000000003</v>
      </c>
      <c r="N151" s="3">
        <v>-1246.8</v>
      </c>
      <c r="O151" s="3">
        <v>-2284.9</v>
      </c>
      <c r="P151" s="3">
        <v>-2447.5039999999999</v>
      </c>
      <c r="Q151" s="3">
        <v>-3075.9720000000002</v>
      </c>
      <c r="R151" s="3">
        <v>-856.928</v>
      </c>
    </row>
    <row r="152" spans="2:18" ht="15" customHeight="1" outlineLevel="1" x14ac:dyDescent="0.2">
      <c r="B152" s="24" t="s">
        <v>197</v>
      </c>
      <c r="C152" s="3"/>
      <c r="D152" s="3"/>
      <c r="E152" s="3"/>
      <c r="F152" s="3">
        <v>1860.9159999999999</v>
      </c>
      <c r="G152" s="3">
        <v>1960.097</v>
      </c>
      <c r="H152" s="3">
        <v>2015.431</v>
      </c>
      <c r="I152" s="3">
        <v>2142.8139999999999</v>
      </c>
      <c r="J152" s="3">
        <v>2323.0940000000001</v>
      </c>
      <c r="K152" s="3">
        <v>2630.556</v>
      </c>
      <c r="L152" s="3">
        <v>2862.1149999999998</v>
      </c>
      <c r="M152" s="3">
        <v>3147.2330000000002</v>
      </c>
      <c r="N152" s="3">
        <v>4178.7359999999999</v>
      </c>
      <c r="O152" s="3">
        <v>4552.768</v>
      </c>
      <c r="P152" s="3">
        <v>5025.5129999999999</v>
      </c>
      <c r="Q152" s="3">
        <v>5455.2489999999998</v>
      </c>
      <c r="R152" s="3">
        <v>6122.92</v>
      </c>
    </row>
    <row r="153" spans="2:18" ht="15" customHeight="1" outlineLevel="1" x14ac:dyDescent="0.2">
      <c r="B153" s="24" t="s">
        <v>198</v>
      </c>
      <c r="C153" s="3"/>
      <c r="D153" s="3"/>
      <c r="E153" s="3"/>
      <c r="F153" s="3">
        <v>-1.7749999999999999</v>
      </c>
      <c r="G153" s="3">
        <v>-17.175000000000001</v>
      </c>
      <c r="H153" s="3">
        <v>-20.988</v>
      </c>
      <c r="I153" s="3">
        <v>-39.034999999999997</v>
      </c>
      <c r="J153" s="3">
        <v>-68.22</v>
      </c>
      <c r="K153" s="3">
        <v>-100.22799999999999</v>
      </c>
      <c r="L153" s="3">
        <v>-122.991</v>
      </c>
      <c r="M153" s="3">
        <v>-140.80600000000001</v>
      </c>
      <c r="N153" s="3">
        <v>-183.291</v>
      </c>
      <c r="O153" s="3">
        <v>-217.19399999999999</v>
      </c>
      <c r="P153" s="3">
        <v>-197.11199999999999</v>
      </c>
      <c r="Q153" s="3">
        <v>-211.63499999999999</v>
      </c>
      <c r="R153" s="3">
        <v>-217.73099999999999</v>
      </c>
    </row>
    <row r="154" spans="2:18" ht="15" customHeight="1" outlineLevel="1" x14ac:dyDescent="0.2">
      <c r="B154" s="24" t="s">
        <v>199</v>
      </c>
      <c r="C154" s="3"/>
      <c r="D154" s="3"/>
      <c r="E154" s="3"/>
      <c r="F154" s="3">
        <v>164.39599999999999</v>
      </c>
      <c r="G154" s="3">
        <v>193.095</v>
      </c>
      <c r="H154" s="3">
        <v>229.71799999999999</v>
      </c>
      <c r="I154" s="3">
        <v>278.72199999999998</v>
      </c>
      <c r="J154" s="3">
        <v>306.65600000000001</v>
      </c>
      <c r="K154" s="3">
        <v>351.13900000000001</v>
      </c>
      <c r="L154" s="3">
        <v>372.79700000000003</v>
      </c>
      <c r="M154" s="3">
        <v>394.13499999999999</v>
      </c>
      <c r="N154" s="3">
        <v>451.791</v>
      </c>
      <c r="O154" s="3">
        <v>424.428</v>
      </c>
      <c r="P154" s="3">
        <v>497.983</v>
      </c>
      <c r="Q154" s="3">
        <v>604.83500000000004</v>
      </c>
      <c r="R154" s="3">
        <v>724.06899999999996</v>
      </c>
    </row>
    <row r="155" spans="2:18" ht="15" customHeight="1" outlineLevel="1" x14ac:dyDescent="0.2">
      <c r="B155" s="24" t="s">
        <v>200</v>
      </c>
      <c r="C155" s="3"/>
      <c r="D155" s="3"/>
      <c r="E155" s="3"/>
      <c r="F155" s="3">
        <v>1822.8489999999999</v>
      </c>
      <c r="G155" s="3">
        <v>2314.6799999999998</v>
      </c>
      <c r="H155" s="3">
        <v>1836.2249999999999</v>
      </c>
      <c r="I155" s="3">
        <v>2475.011</v>
      </c>
      <c r="J155" s="3">
        <v>2203.248</v>
      </c>
      <c r="K155" s="3">
        <v>2635.8589999999999</v>
      </c>
      <c r="L155" s="3">
        <v>2903.1759999999999</v>
      </c>
      <c r="M155" s="3">
        <v>3055.8040000000001</v>
      </c>
      <c r="N155" s="3">
        <v>4395.201</v>
      </c>
      <c r="O155" s="3">
        <v>5118.7079999999996</v>
      </c>
      <c r="P155" s="3">
        <v>5922.8990000000003</v>
      </c>
      <c r="Q155" s="3">
        <v>6737.5709999999999</v>
      </c>
      <c r="R155" s="3">
        <v>4656.6469999999999</v>
      </c>
    </row>
    <row r="156" spans="2:18" ht="15" customHeight="1" outlineLevel="1" x14ac:dyDescent="0.2">
      <c r="B156" s="43" t="s">
        <v>157</v>
      </c>
      <c r="C156" s="44">
        <v>4815.8990000000003</v>
      </c>
      <c r="D156" s="44">
        <v>5125.3130000000001</v>
      </c>
      <c r="E156" s="44">
        <v>5345.7089999999998</v>
      </c>
      <c r="F156" s="44">
        <v>5428.68</v>
      </c>
      <c r="G156" s="44">
        <v>5325.5929999999998</v>
      </c>
      <c r="H156" s="44">
        <v>5609.625</v>
      </c>
      <c r="I156" s="44">
        <v>6137.2049999999999</v>
      </c>
      <c r="J156" s="44">
        <v>5730.1390000000001</v>
      </c>
      <c r="K156" s="44">
        <v>6423.366</v>
      </c>
      <c r="L156" s="44">
        <v>6829.0330000000004</v>
      </c>
      <c r="M156" s="44">
        <v>7317.3789999999999</v>
      </c>
      <c r="N156" s="44">
        <v>7595.6369999999997</v>
      </c>
      <c r="O156" s="44">
        <v>7593.81</v>
      </c>
      <c r="P156" s="44">
        <v>8801.7790000000005</v>
      </c>
      <c r="Q156" s="44">
        <v>9510.0480000000007</v>
      </c>
      <c r="R156" s="44">
        <v>10428.977000000001</v>
      </c>
    </row>
    <row r="157" spans="2:18" ht="15" customHeight="1" outlineLevel="1" x14ac:dyDescent="0.2">
      <c r="B157" s="42" t="s">
        <v>196</v>
      </c>
      <c r="C157" s="3"/>
      <c r="D157" s="3"/>
      <c r="E157" s="3"/>
      <c r="F157" s="3">
        <v>4.5810000000000004</v>
      </c>
      <c r="G157" s="3">
        <v>3.8420000000000001</v>
      </c>
      <c r="H157" s="3">
        <v>1.87</v>
      </c>
      <c r="I157" s="3">
        <v>5.8479999999999999</v>
      </c>
      <c r="J157" s="3">
        <v>5.6929999999999996</v>
      </c>
      <c r="K157" s="3">
        <v>6.1950000000000003</v>
      </c>
      <c r="L157" s="3">
        <v>6.194</v>
      </c>
      <c r="M157" s="3">
        <v>6.2370000000000001</v>
      </c>
      <c r="N157" s="3">
        <v>18.478000000000002</v>
      </c>
      <c r="O157" s="3">
        <v>20.683</v>
      </c>
      <c r="P157" s="3">
        <v>22.143000000000001</v>
      </c>
      <c r="Q157" s="3">
        <v>22.213999999999999</v>
      </c>
      <c r="R157" s="3">
        <v>25.827999999999999</v>
      </c>
    </row>
    <row r="158" spans="2:18" ht="15" customHeight="1" outlineLevel="1" x14ac:dyDescent="0.2">
      <c r="B158" s="24" t="s">
        <v>197</v>
      </c>
      <c r="C158" s="3"/>
      <c r="D158" s="3"/>
      <c r="E158" s="3"/>
      <c r="F158" s="3">
        <v>18.344000000000001</v>
      </c>
      <c r="G158" s="3">
        <v>19.356999999999999</v>
      </c>
      <c r="H158" s="3">
        <v>26.523</v>
      </c>
      <c r="I158" s="3">
        <v>25.564</v>
      </c>
      <c r="J158" s="3">
        <v>22.288</v>
      </c>
      <c r="K158" s="3">
        <v>20.02</v>
      </c>
      <c r="L158" s="3">
        <v>19.042000000000002</v>
      </c>
      <c r="M158" s="3">
        <v>18.818999999999999</v>
      </c>
      <c r="N158" s="3">
        <v>-0.82099999999999995</v>
      </c>
      <c r="O158" s="3">
        <v>-8.9589999999999996</v>
      </c>
      <c r="P158" s="3">
        <v>-15.768000000000001</v>
      </c>
      <c r="Q158" s="3">
        <v>-22.597000000000001</v>
      </c>
      <c r="R158" s="3">
        <v>-37.814</v>
      </c>
    </row>
    <row r="159" spans="2:18" ht="15" customHeight="1" outlineLevel="1" x14ac:dyDescent="0.2">
      <c r="B159" s="24" t="s">
        <v>198</v>
      </c>
      <c r="C159" s="3"/>
      <c r="D159" s="3"/>
      <c r="E159" s="3"/>
      <c r="F159" s="3" t="s">
        <v>153</v>
      </c>
      <c r="G159" s="3" t="s">
        <v>153</v>
      </c>
      <c r="H159" s="3" t="s">
        <v>153</v>
      </c>
      <c r="I159" s="3" t="s">
        <v>153</v>
      </c>
      <c r="J159" s="3" t="s">
        <v>153</v>
      </c>
      <c r="K159" s="3" t="s">
        <v>153</v>
      </c>
      <c r="L159" s="3" t="s">
        <v>153</v>
      </c>
      <c r="M159" s="3" t="s">
        <v>153</v>
      </c>
      <c r="N159" s="3" t="s">
        <v>153</v>
      </c>
      <c r="O159" s="3" t="s">
        <v>153</v>
      </c>
      <c r="P159" s="3" t="s">
        <v>153</v>
      </c>
      <c r="Q159" s="3" t="s">
        <v>153</v>
      </c>
      <c r="R159" s="3" t="s">
        <v>153</v>
      </c>
    </row>
    <row r="160" spans="2:18" ht="15" customHeight="1" outlineLevel="1" x14ac:dyDescent="0.2">
      <c r="B160" s="24" t="s">
        <v>199</v>
      </c>
      <c r="C160" s="3"/>
      <c r="D160" s="3"/>
      <c r="E160" s="3"/>
      <c r="F160" s="3">
        <v>1.4E-2</v>
      </c>
      <c r="G160" s="3">
        <v>1.6E-2</v>
      </c>
      <c r="H160" s="3">
        <v>3.3000000000000002E-2</v>
      </c>
      <c r="I160" s="3">
        <v>4.2000000000000003E-2</v>
      </c>
      <c r="J160" s="3">
        <v>4.7E-2</v>
      </c>
      <c r="K160" s="3">
        <v>5.2999999999999999E-2</v>
      </c>
      <c r="L160" s="3">
        <v>5.7000000000000002E-2</v>
      </c>
      <c r="M160" s="3">
        <v>6.0999999999999999E-2</v>
      </c>
      <c r="N160" s="3">
        <v>7.1999999999999995E-2</v>
      </c>
      <c r="O160" s="3">
        <v>6.0999999999999999E-2</v>
      </c>
      <c r="P160" s="3">
        <v>7.4999999999999997E-2</v>
      </c>
      <c r="Q160" s="3">
        <v>9.4E-2</v>
      </c>
      <c r="R160" s="3">
        <v>0.11899999999999999</v>
      </c>
    </row>
    <row r="161" spans="1:39" ht="15" customHeight="1" outlineLevel="1" x14ac:dyDescent="0.2">
      <c r="B161" s="24" t="s">
        <v>200</v>
      </c>
      <c r="C161" s="3"/>
      <c r="D161" s="3"/>
      <c r="E161" s="3"/>
      <c r="F161" s="3">
        <v>45.250999999999998</v>
      </c>
      <c r="G161" s="3">
        <v>48.874000000000002</v>
      </c>
      <c r="H161" s="3">
        <v>50.546999999999997</v>
      </c>
      <c r="I161" s="3">
        <v>56.883000000000003</v>
      </c>
      <c r="J161" s="3">
        <v>52.732999999999997</v>
      </c>
      <c r="K161" s="3">
        <v>59.225999999999999</v>
      </c>
      <c r="L161" s="3">
        <v>61.658999999999999</v>
      </c>
      <c r="M161" s="3">
        <v>74.853999999999999</v>
      </c>
      <c r="N161" s="3">
        <v>112.09399999999999</v>
      </c>
      <c r="O161" s="3">
        <v>128.02799999999999</v>
      </c>
      <c r="P161" s="3">
        <v>147.59299999999999</v>
      </c>
      <c r="Q161" s="3">
        <v>163.07499999999999</v>
      </c>
      <c r="R161" s="3">
        <v>173.09</v>
      </c>
    </row>
    <row r="162" spans="1:39" ht="15" customHeight="1" outlineLevel="1" x14ac:dyDescent="0.2">
      <c r="A162" s="55" t="s">
        <v>164</v>
      </c>
      <c r="B162" s="43" t="s">
        <v>158</v>
      </c>
      <c r="C162" s="44">
        <v>58.322000000000003</v>
      </c>
      <c r="D162" s="44">
        <v>45.713000000000001</v>
      </c>
      <c r="E162" s="44">
        <v>45.491999999999997</v>
      </c>
      <c r="F162" s="44">
        <v>68.19</v>
      </c>
      <c r="G162" s="44">
        <v>72.088999999999999</v>
      </c>
      <c r="H162" s="44">
        <v>78.972999999999999</v>
      </c>
      <c r="I162" s="44">
        <v>88.337000000000003</v>
      </c>
      <c r="J162" s="44">
        <v>80.760999999999996</v>
      </c>
      <c r="K162" s="44">
        <v>85.494</v>
      </c>
      <c r="L162" s="44">
        <v>86.951999999999998</v>
      </c>
      <c r="M162" s="44">
        <v>99.971000000000004</v>
      </c>
      <c r="N162" s="44">
        <v>129.82300000000001</v>
      </c>
      <c r="O162" s="44">
        <v>139.81299999999999</v>
      </c>
      <c r="P162" s="44">
        <v>154.04300000000001</v>
      </c>
      <c r="Q162" s="44">
        <v>162.786</v>
      </c>
      <c r="R162" s="44">
        <v>161.22300000000001</v>
      </c>
    </row>
    <row r="165" spans="1:39" ht="20.100000000000001" customHeight="1" outlineLevel="1" x14ac:dyDescent="0.2">
      <c r="B165" s="32" t="s">
        <v>123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</row>
    <row r="166" spans="1:39" outlineLevel="1" x14ac:dyDescent="0.2">
      <c r="B166" s="34" t="s">
        <v>65</v>
      </c>
      <c r="C166" s="35" t="s">
        <v>187</v>
      </c>
      <c r="D166" s="35" t="s">
        <v>189</v>
      </c>
      <c r="E166" s="35" t="s">
        <v>192</v>
      </c>
      <c r="F166" s="35">
        <v>2019</v>
      </c>
      <c r="G166" s="35" t="s">
        <v>194</v>
      </c>
      <c r="H166" s="35" t="s">
        <v>206</v>
      </c>
      <c r="I166" s="35" t="s">
        <v>207</v>
      </c>
      <c r="J166" s="35">
        <v>2020</v>
      </c>
      <c r="K166" s="35" t="s">
        <v>220</v>
      </c>
      <c r="L166" s="35" t="s">
        <v>221</v>
      </c>
      <c r="M166" s="35" t="s">
        <v>223</v>
      </c>
      <c r="N166" s="35">
        <v>2021</v>
      </c>
      <c r="O166" s="35" t="s">
        <v>233</v>
      </c>
      <c r="P166" s="35" t="s">
        <v>234</v>
      </c>
      <c r="Q166" s="35" t="s">
        <v>235</v>
      </c>
      <c r="R166" s="35">
        <v>2022</v>
      </c>
    </row>
    <row r="167" spans="1:39" ht="15" customHeight="1" outlineLevel="1" x14ac:dyDescent="0.2">
      <c r="B167" s="42" t="s">
        <v>124</v>
      </c>
      <c r="C167" s="3">
        <v>780.90499999999997</v>
      </c>
      <c r="D167" s="3">
        <v>1179.3610000000001</v>
      </c>
      <c r="E167" s="3">
        <v>1436.3489999999999</v>
      </c>
      <c r="F167" s="3">
        <v>1414.8589999999999</v>
      </c>
      <c r="G167" s="3">
        <v>46.359000000000002</v>
      </c>
      <c r="H167" s="3">
        <v>141.422</v>
      </c>
      <c r="I167" s="3">
        <v>127.96</v>
      </c>
      <c r="J167" s="3">
        <v>-67.397999999999996</v>
      </c>
      <c r="K167" s="3">
        <v>409.37799999999999</v>
      </c>
      <c r="L167" s="3">
        <v>724.98699999999997</v>
      </c>
      <c r="M167" s="3">
        <v>1199.1690000000001</v>
      </c>
      <c r="N167" s="3">
        <v>829.39</v>
      </c>
      <c r="O167" s="3">
        <v>99.051000000000002</v>
      </c>
      <c r="P167" s="3">
        <v>1066.162</v>
      </c>
      <c r="Q167" s="3">
        <v>1794.768</v>
      </c>
      <c r="R167" s="3">
        <v>3448.3919999999998</v>
      </c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</row>
    <row r="168" spans="1:39" ht="15" customHeight="1" outlineLevel="1" x14ac:dyDescent="0.2">
      <c r="B168" s="24" t="s">
        <v>125</v>
      </c>
      <c r="C168" s="3">
        <v>203.346</v>
      </c>
      <c r="D168" s="3">
        <v>400.375</v>
      </c>
      <c r="E168" s="3">
        <v>600.23</v>
      </c>
      <c r="F168" s="3">
        <v>772.61900000000003</v>
      </c>
      <c r="G168" s="3">
        <v>145.00899999999999</v>
      </c>
      <c r="H168" s="3">
        <v>229.72399999999999</v>
      </c>
      <c r="I168" s="3">
        <v>402.05500000000001</v>
      </c>
      <c r="J168" s="3">
        <v>901.53099999999995</v>
      </c>
      <c r="K168" s="3">
        <v>143.43899999999999</v>
      </c>
      <c r="L168" s="3">
        <v>160.291</v>
      </c>
      <c r="M168" s="3">
        <v>-2.093</v>
      </c>
      <c r="N168" s="3">
        <v>399.25200000000001</v>
      </c>
      <c r="O168" s="3">
        <v>90.01</v>
      </c>
      <c r="P168" s="3">
        <v>220.982</v>
      </c>
      <c r="Q168" s="3">
        <v>285.08199999999999</v>
      </c>
      <c r="R168" s="3">
        <v>-200.345</v>
      </c>
    </row>
    <row r="169" spans="1:39" ht="15" customHeight="1" outlineLevel="1" x14ac:dyDescent="0.2">
      <c r="B169" s="24" t="s">
        <v>126</v>
      </c>
      <c r="C169" s="3">
        <v>-564.49</v>
      </c>
      <c r="D169" s="3">
        <v>-685.13800000000003</v>
      </c>
      <c r="E169" s="3">
        <v>-1155.952</v>
      </c>
      <c r="F169" s="3">
        <v>-1059.8340000000001</v>
      </c>
      <c r="G169" s="3">
        <v>412.42399999999998</v>
      </c>
      <c r="H169" s="3">
        <v>-484.78300000000002</v>
      </c>
      <c r="I169" s="3">
        <v>-1367.414</v>
      </c>
      <c r="J169" s="3">
        <v>-1235.7539999999999</v>
      </c>
      <c r="K169" s="3">
        <v>-322.875</v>
      </c>
      <c r="L169" s="3">
        <v>-599.22199999999998</v>
      </c>
      <c r="M169" s="3">
        <v>-539.48599999999999</v>
      </c>
      <c r="N169" s="3">
        <v>-54.473999999999997</v>
      </c>
      <c r="O169" s="3">
        <v>-2695.1570000000002</v>
      </c>
      <c r="P169" s="3">
        <v>-3289.65</v>
      </c>
      <c r="Q169" s="3">
        <v>-2856.192</v>
      </c>
      <c r="R169" s="3">
        <v>-2511.6660000000002</v>
      </c>
    </row>
    <row r="170" spans="1:39" ht="15" customHeight="1" outlineLevel="1" x14ac:dyDescent="0.2">
      <c r="B170" s="6" t="s">
        <v>128</v>
      </c>
      <c r="C170" s="7">
        <v>266.74400000000003</v>
      </c>
      <c r="D170" s="7">
        <v>712.57299999999998</v>
      </c>
      <c r="E170" s="7">
        <v>647.11699999999996</v>
      </c>
      <c r="F170" s="7">
        <v>771.53899999999999</v>
      </c>
      <c r="G170" s="7">
        <v>164.30099999999999</v>
      </c>
      <c r="H170" s="7">
        <v>-569.90300000000002</v>
      </c>
      <c r="I170" s="7">
        <v>-1358.7159999999999</v>
      </c>
      <c r="J170" s="7">
        <v>-1089.049</v>
      </c>
      <c r="K170" s="7">
        <v>133.489</v>
      </c>
      <c r="L170" s="7">
        <v>34.68</v>
      </c>
      <c r="M170" s="7">
        <v>229.52600000000001</v>
      </c>
      <c r="N170" s="7">
        <v>533.84900000000005</v>
      </c>
      <c r="O170" s="7">
        <v>-2686.0279999999998</v>
      </c>
      <c r="P170" s="7">
        <v>-2393.8000000000002</v>
      </c>
      <c r="Q170" s="7">
        <v>-1483.027</v>
      </c>
      <c r="R170" s="7">
        <v>-355.25799999999998</v>
      </c>
    </row>
    <row r="171" spans="1:39" ht="15" customHeight="1" outlineLevel="1" x14ac:dyDescent="0.2">
      <c r="B171" s="24" t="s">
        <v>129</v>
      </c>
      <c r="C171" s="3">
        <f>-58.59+1.488</f>
        <v>-57.102000000000004</v>
      </c>
      <c r="D171" s="3">
        <f>-114.506+4.783</f>
        <v>-109.723</v>
      </c>
      <c r="E171" s="3">
        <f>-162.205+5.547</f>
        <v>-156.65800000000002</v>
      </c>
      <c r="F171" s="3">
        <f>-(285.51)+49.462</f>
        <v>-236.048</v>
      </c>
      <c r="G171" s="3">
        <f>(-72.733)+7.528</f>
        <v>-65.204999999999998</v>
      </c>
      <c r="H171" s="3">
        <f>-284.642+21.276</f>
        <v>-263.36599999999999</v>
      </c>
      <c r="I171" s="3">
        <f>-380.505+19.972</f>
        <v>-360.53300000000002</v>
      </c>
      <c r="J171" s="3">
        <f>-566.269+29.628</f>
        <v>-536.64099999999996</v>
      </c>
      <c r="K171" s="3">
        <f>+(-99.91)+2.304</f>
        <v>-97.605999999999995</v>
      </c>
      <c r="L171" s="3">
        <f>-232.966+7.18</f>
        <v>-225.786</v>
      </c>
      <c r="M171" s="3">
        <f>11.943-317.033</f>
        <v>-305.09000000000003</v>
      </c>
      <c r="N171" s="3">
        <f>20.604-556.115</f>
        <v>-535.51099999999997</v>
      </c>
      <c r="O171" s="3">
        <f>4.592-170.873</f>
        <v>-166.28099999999998</v>
      </c>
      <c r="P171" s="3">
        <f>16.565-394.096</f>
        <v>-377.53100000000001</v>
      </c>
      <c r="Q171" s="3">
        <f>44.6-553.091</f>
        <v>-508.49099999999999</v>
      </c>
      <c r="R171" s="3">
        <f>84.788-890.336</f>
        <v>-805.548</v>
      </c>
    </row>
    <row r="172" spans="1:39" ht="15" customHeight="1" outlineLevel="1" x14ac:dyDescent="0.2">
      <c r="B172" s="24" t="s">
        <v>130</v>
      </c>
      <c r="C172" s="40">
        <v>-12.179000000000002</v>
      </c>
      <c r="D172" s="40">
        <v>-116.337</v>
      </c>
      <c r="E172" s="40">
        <v>-112.77799999999996</v>
      </c>
      <c r="F172" s="40">
        <v>-157.03300000000002</v>
      </c>
      <c r="G172" s="40">
        <v>-374.43900000000002</v>
      </c>
      <c r="H172" s="3">
        <v>-724.05899999999997</v>
      </c>
      <c r="I172" s="3">
        <v>-998.18299999999988</v>
      </c>
      <c r="J172" s="3">
        <v>-713.44600000000003</v>
      </c>
      <c r="K172" s="40">
        <v>-55.373999999999995</v>
      </c>
      <c r="L172" s="3">
        <v>-79.089999999999975</v>
      </c>
      <c r="M172" s="3">
        <v>264.37100000000004</v>
      </c>
      <c r="N172" s="3">
        <v>672.0619999999999</v>
      </c>
      <c r="O172" s="40">
        <v>-39.13300000000001</v>
      </c>
      <c r="P172" s="3">
        <v>-62.406000000000006</v>
      </c>
      <c r="Q172" s="3">
        <v>66.139999999999986</v>
      </c>
      <c r="R172" s="3">
        <v>54.863</v>
      </c>
    </row>
    <row r="173" spans="1:39" ht="15" customHeight="1" outlineLevel="1" x14ac:dyDescent="0.2">
      <c r="B173" s="6" t="s">
        <v>127</v>
      </c>
      <c r="C173" s="45">
        <v>-69.281000000000006</v>
      </c>
      <c r="D173" s="45">
        <v>-226.06</v>
      </c>
      <c r="E173" s="45">
        <v>-269.43599999999998</v>
      </c>
      <c r="F173" s="45">
        <v>-393.08100000000002</v>
      </c>
      <c r="G173" s="45">
        <v>-439.64400000000001</v>
      </c>
      <c r="H173" s="7">
        <v>-987.42499999999995</v>
      </c>
      <c r="I173" s="7">
        <v>-1186.117</v>
      </c>
      <c r="J173" s="7">
        <v>-1250.087</v>
      </c>
      <c r="K173" s="45">
        <v>-152.97999999999999</v>
      </c>
      <c r="L173" s="7">
        <v>-304.87599999999998</v>
      </c>
      <c r="M173" s="7">
        <v>-40.719000000000001</v>
      </c>
      <c r="N173" s="7">
        <v>136.55099999999999</v>
      </c>
      <c r="O173" s="45">
        <v>-205.41399999999999</v>
      </c>
      <c r="P173" s="7">
        <v>-439.93700000000001</v>
      </c>
      <c r="Q173" s="7">
        <v>-574.63099999999997</v>
      </c>
      <c r="R173" s="7">
        <v>-750.68499999999995</v>
      </c>
    </row>
    <row r="174" spans="1:39" ht="15" customHeight="1" outlineLevel="1" x14ac:dyDescent="0.2">
      <c r="B174" s="24" t="s">
        <v>147</v>
      </c>
      <c r="C174" s="3">
        <f>144.453-(513.131)</f>
        <v>-368.678</v>
      </c>
      <c r="D174" s="3">
        <f>328.66-720.223</f>
        <v>-391.56299999999993</v>
      </c>
      <c r="E174" s="3">
        <f>386.034-(928.728)</f>
        <v>-542.69399999999996</v>
      </c>
      <c r="F174" s="3">
        <f>-1307.551+865.11</f>
        <v>-442.44099999999992</v>
      </c>
      <c r="G174" s="3">
        <f>(-440.327)+339.904</f>
        <v>-100.423</v>
      </c>
      <c r="H174" s="3">
        <f>877.733-505.977</f>
        <v>371.75599999999997</v>
      </c>
      <c r="I174" s="3">
        <f>1815.418-797.75</f>
        <v>1017.6679999999999</v>
      </c>
      <c r="J174" s="3">
        <f>2292.683-(964.639)</f>
        <v>1328.0439999999999</v>
      </c>
      <c r="K174" s="3">
        <f>195.861-179.804</f>
        <v>16.056999999999988</v>
      </c>
      <c r="L174" s="3">
        <f>564.147-668.925</f>
        <v>-104.77799999999991</v>
      </c>
      <c r="M174" s="3">
        <f>1824.184-1763.25</f>
        <v>60.933999999999969</v>
      </c>
      <c r="N174" s="3">
        <f>2551.172-2481.203</f>
        <v>69.969000000000051</v>
      </c>
      <c r="O174" s="3">
        <f>1219.679-374.668</f>
        <v>845.01100000000008</v>
      </c>
      <c r="P174" s="3">
        <f>2034.663-1182.272</f>
        <v>852.39100000000008</v>
      </c>
      <c r="Q174" s="3">
        <f>4489.431-3539.065</f>
        <v>950.36599999999953</v>
      </c>
      <c r="R174" s="3">
        <f>7813.907-7706.235</f>
        <v>107.67200000000048</v>
      </c>
    </row>
    <row r="175" spans="1:39" ht="15" customHeight="1" outlineLevel="1" x14ac:dyDescent="0.2">
      <c r="B175" s="24" t="s">
        <v>137</v>
      </c>
      <c r="C175" s="40" t="s">
        <v>153</v>
      </c>
      <c r="D175" s="3">
        <v>-450.97199999999998</v>
      </c>
      <c r="E175" s="3">
        <v>-450.97199999999998</v>
      </c>
      <c r="F175" s="3">
        <v>-450.97199999999998</v>
      </c>
      <c r="G175" s="3" t="s">
        <v>153</v>
      </c>
      <c r="H175" s="3">
        <v>-243.07400000000001</v>
      </c>
      <c r="I175" s="3">
        <v>-385.238</v>
      </c>
      <c r="J175" s="3">
        <v>-385.238</v>
      </c>
      <c r="K175" s="3">
        <v>-71.081999999999994</v>
      </c>
      <c r="L175" s="3">
        <v>-71.081999999999994</v>
      </c>
      <c r="M175" s="3">
        <v>-71.081999999999994</v>
      </c>
      <c r="N175" s="3">
        <v>-71.081999999999994</v>
      </c>
      <c r="O175" s="3" t="s">
        <v>153</v>
      </c>
      <c r="P175" s="3">
        <v>-345.24599999999998</v>
      </c>
      <c r="Q175" s="3">
        <v>-345.24599999999998</v>
      </c>
      <c r="R175" s="3">
        <v>-274.16399999999999</v>
      </c>
    </row>
    <row r="176" spans="1:39" ht="15" customHeight="1" outlineLevel="1" x14ac:dyDescent="0.2">
      <c r="B176" s="6" t="s">
        <v>131</v>
      </c>
      <c r="C176" s="7">
        <v>-369.649</v>
      </c>
      <c r="D176" s="7">
        <v>-844.63599999999997</v>
      </c>
      <c r="E176" s="7">
        <v>-996.31500000000005</v>
      </c>
      <c r="F176" s="7">
        <v>-946.41200000000003</v>
      </c>
      <c r="G176" s="7">
        <v>-112.887</v>
      </c>
      <c r="H176" s="7">
        <v>107.676</v>
      </c>
      <c r="I176" s="7">
        <v>600.81700000000001</v>
      </c>
      <c r="J176" s="7">
        <v>899.07299999999998</v>
      </c>
      <c r="K176" s="7">
        <v>-65.334000000000003</v>
      </c>
      <c r="L176" s="7">
        <v>-198.51900000000001</v>
      </c>
      <c r="M176" s="7">
        <v>-44.228999999999999</v>
      </c>
      <c r="N176" s="7">
        <v>-43.152000000000001</v>
      </c>
      <c r="O176" s="7">
        <v>829.44</v>
      </c>
      <c r="P176" s="7">
        <v>479.41500000000002</v>
      </c>
      <c r="Q176" s="7">
        <v>562.76800000000003</v>
      </c>
      <c r="R176" s="7">
        <v>-233.39500000000001</v>
      </c>
    </row>
    <row r="177" spans="1:39" ht="15" customHeight="1" outlineLevel="1" x14ac:dyDescent="0.2">
      <c r="A177" s="55" t="s">
        <v>164</v>
      </c>
      <c r="B177" s="43" t="s">
        <v>132</v>
      </c>
      <c r="C177" s="44">
        <v>-61.174999999999997</v>
      </c>
      <c r="D177" s="44">
        <v>-289.35000000000002</v>
      </c>
      <c r="E177" s="44">
        <v>-604.57399999999996</v>
      </c>
      <c r="F177" s="44">
        <v>-486.97500000000002</v>
      </c>
      <c r="G177" s="44">
        <v>-159.17500000000001</v>
      </c>
      <c r="H177" s="44">
        <v>-1079.865</v>
      </c>
      <c r="I177" s="44">
        <v>-1150.402</v>
      </c>
      <c r="J177" s="44">
        <v>-835.50900000000001</v>
      </c>
      <c r="K177" s="44">
        <v>154.095</v>
      </c>
      <c r="L177" s="44">
        <v>-84.674999999999997</v>
      </c>
      <c r="M177" s="44">
        <v>578.80899999999997</v>
      </c>
      <c r="N177" s="44">
        <v>1804.992</v>
      </c>
      <c r="O177" s="44">
        <v>-1819.1289999999999</v>
      </c>
      <c r="P177" s="44">
        <v>-1600.701</v>
      </c>
      <c r="Q177" s="44">
        <v>-918.45699999999999</v>
      </c>
      <c r="R177" s="44">
        <v>-912.577</v>
      </c>
    </row>
    <row r="178" spans="1:39" x14ac:dyDescent="0.2">
      <c r="J178" s="3"/>
      <c r="N178" s="3"/>
      <c r="R178" s="3"/>
    </row>
    <row r="180" spans="1:39" ht="20.100000000000001" customHeight="1" outlineLevel="1" x14ac:dyDescent="0.2">
      <c r="B180" s="32" t="s">
        <v>160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</row>
    <row r="181" spans="1:39" outlineLevel="1" x14ac:dyDescent="0.2">
      <c r="B181" s="34" t="s">
        <v>65</v>
      </c>
      <c r="C181" s="35" t="s">
        <v>187</v>
      </c>
      <c r="D181" s="35" t="s">
        <v>189</v>
      </c>
      <c r="E181" s="35" t="s">
        <v>192</v>
      </c>
      <c r="F181" s="35">
        <v>2019</v>
      </c>
      <c r="G181" s="35" t="s">
        <v>194</v>
      </c>
      <c r="H181" s="35" t="s">
        <v>206</v>
      </c>
      <c r="I181" s="35" t="s">
        <v>207</v>
      </c>
      <c r="J181" s="35">
        <v>2020</v>
      </c>
      <c r="K181" s="35" t="s">
        <v>220</v>
      </c>
      <c r="L181" s="35" t="s">
        <v>221</v>
      </c>
      <c r="M181" s="35" t="s">
        <v>223</v>
      </c>
      <c r="N181" s="35">
        <v>2021</v>
      </c>
      <c r="O181" s="35" t="s">
        <v>233</v>
      </c>
      <c r="P181" s="35" t="s">
        <v>234</v>
      </c>
      <c r="Q181" s="35" t="s">
        <v>235</v>
      </c>
      <c r="R181" s="35">
        <v>2022</v>
      </c>
    </row>
    <row r="182" spans="1:39" ht="15" customHeight="1" outlineLevel="1" x14ac:dyDescent="0.2">
      <c r="B182" s="42" t="s">
        <v>196</v>
      </c>
      <c r="C182" s="3">
        <v>32.531999999999996</v>
      </c>
      <c r="D182" s="3">
        <v>51.906999999999996</v>
      </c>
      <c r="E182" s="3">
        <v>64.016999999999996</v>
      </c>
      <c r="F182" s="3">
        <v>107.72</v>
      </c>
      <c r="G182" s="3">
        <v>40.884</v>
      </c>
      <c r="H182" s="3">
        <v>112.376</v>
      </c>
      <c r="I182" s="3">
        <v>134.67599999999999</v>
      </c>
      <c r="J182" s="3">
        <v>243.99700000000001</v>
      </c>
      <c r="K182" s="3">
        <v>70.656000000000006</v>
      </c>
      <c r="L182" s="3">
        <v>124.127</v>
      </c>
      <c r="M182" s="3">
        <v>151.607</v>
      </c>
      <c r="N182" s="3">
        <v>170.28100000000001</v>
      </c>
      <c r="O182" s="3">
        <v>15.749000000000001</v>
      </c>
      <c r="P182" s="3">
        <v>67.698999999999998</v>
      </c>
      <c r="Q182" s="3">
        <v>93.15</v>
      </c>
      <c r="R182" s="3">
        <v>192.87200000000001</v>
      </c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</row>
    <row r="183" spans="1:39" ht="15" customHeight="1" outlineLevel="1" x14ac:dyDescent="0.2">
      <c r="B183" s="24" t="s">
        <v>197</v>
      </c>
      <c r="C183" s="3">
        <v>4.8710000000000004</v>
      </c>
      <c r="D183" s="3">
        <v>27.023</v>
      </c>
      <c r="E183" s="3">
        <v>29.449000000000002</v>
      </c>
      <c r="F183" s="3">
        <v>57.192</v>
      </c>
      <c r="G183" s="3">
        <v>21.077999999999999</v>
      </c>
      <c r="H183" s="3">
        <v>128.167</v>
      </c>
      <c r="I183" s="3">
        <v>186.017</v>
      </c>
      <c r="J183" s="3">
        <v>240.53200000000001</v>
      </c>
      <c r="K183" s="3">
        <v>23.789000000000001</v>
      </c>
      <c r="L183" s="3">
        <v>82.828999999999994</v>
      </c>
      <c r="M183" s="3">
        <v>130.15199999999999</v>
      </c>
      <c r="N183" s="3">
        <v>180.399</v>
      </c>
      <c r="O183" s="3">
        <v>13.661</v>
      </c>
      <c r="P183" s="3">
        <v>43.055</v>
      </c>
      <c r="Q183" s="3">
        <v>79.188999999999993</v>
      </c>
      <c r="R183" s="3">
        <v>134.49799999999999</v>
      </c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</row>
    <row r="184" spans="1:39" ht="15" customHeight="1" outlineLevel="1" x14ac:dyDescent="0.2">
      <c r="B184" s="24" t="s">
        <v>198</v>
      </c>
      <c r="C184" s="3">
        <v>16.001000000000001</v>
      </c>
      <c r="D184" s="3">
        <v>16.001000000000001</v>
      </c>
      <c r="E184" s="3">
        <v>41.408000000000001</v>
      </c>
      <c r="F184" s="3">
        <v>51.631</v>
      </c>
      <c r="G184" s="3">
        <v>5.242</v>
      </c>
      <c r="H184" s="3">
        <v>27.936</v>
      </c>
      <c r="I184" s="3">
        <v>35.409999999999997</v>
      </c>
      <c r="J184" s="3">
        <v>42.779000000000003</v>
      </c>
      <c r="K184" s="3">
        <v>1.99</v>
      </c>
      <c r="L184" s="3">
        <v>10.29</v>
      </c>
      <c r="M184" s="3">
        <v>14.819000000000001</v>
      </c>
      <c r="N184" s="3">
        <v>18.21</v>
      </c>
      <c r="O184" s="3">
        <v>4.1180000000000003</v>
      </c>
      <c r="P184" s="3">
        <v>9.2690000000000001</v>
      </c>
      <c r="Q184" s="3">
        <v>14.887</v>
      </c>
      <c r="R184" s="3">
        <v>23.46</v>
      </c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</row>
    <row r="185" spans="1:39" ht="15" customHeight="1" outlineLevel="1" x14ac:dyDescent="0.2">
      <c r="B185" s="24" t="s">
        <v>199</v>
      </c>
      <c r="C185" s="3">
        <v>3.7810000000000001</v>
      </c>
      <c r="D185" s="3">
        <v>11.326000000000001</v>
      </c>
      <c r="E185" s="3">
        <v>17.385000000000002</v>
      </c>
      <c r="F185" s="3">
        <v>62.207000000000001</v>
      </c>
      <c r="G185" s="3">
        <v>4.9210000000000003</v>
      </c>
      <c r="H185" s="3">
        <v>13.292999999999999</v>
      </c>
      <c r="I185" s="3">
        <v>20.716999999999999</v>
      </c>
      <c r="J185" s="3">
        <v>30.934000000000001</v>
      </c>
      <c r="K185" s="3">
        <v>3.2690000000000001</v>
      </c>
      <c r="L185" s="3">
        <v>14.81</v>
      </c>
      <c r="M185" s="3">
        <v>19.442</v>
      </c>
      <c r="N185" s="3">
        <v>185.291</v>
      </c>
      <c r="O185" s="3">
        <v>136.66999999999999</v>
      </c>
      <c r="P185" s="3">
        <v>273.19400000000002</v>
      </c>
      <c r="Q185" s="3">
        <v>360.83</v>
      </c>
      <c r="R185" s="3">
        <v>527.91800000000001</v>
      </c>
    </row>
    <row r="186" spans="1:39" ht="15" customHeight="1" outlineLevel="1" x14ac:dyDescent="0.2">
      <c r="B186" s="24" t="s">
        <v>200</v>
      </c>
      <c r="C186" s="3">
        <v>1.405</v>
      </c>
      <c r="D186" s="3">
        <v>9.2739999999999991</v>
      </c>
      <c r="E186" s="3">
        <v>11.715999999999999</v>
      </c>
      <c r="F186" s="3">
        <v>13.034000000000001</v>
      </c>
      <c r="G186" s="3">
        <v>0.60799999999999998</v>
      </c>
      <c r="H186" s="3">
        <v>2.87</v>
      </c>
      <c r="I186" s="3">
        <v>5.1420000000000003</v>
      </c>
      <c r="J186" s="3">
        <v>9.484</v>
      </c>
      <c r="K186" s="3">
        <v>0.20599999999999999</v>
      </c>
      <c r="L186" s="3">
        <v>0.91</v>
      </c>
      <c r="M186" s="3">
        <v>1.0129999999999999</v>
      </c>
      <c r="N186" s="3">
        <v>1.9339999999999999</v>
      </c>
      <c r="O186" s="3">
        <v>0.67500000000000004</v>
      </c>
      <c r="P186" s="3">
        <v>2.8029999999999999</v>
      </c>
      <c r="Q186" s="3">
        <v>15.829000000000001</v>
      </c>
      <c r="R186" s="3">
        <v>26.74</v>
      </c>
    </row>
    <row r="187" spans="1:39" ht="15" customHeight="1" outlineLevel="1" x14ac:dyDescent="0.2">
      <c r="B187" s="43" t="s">
        <v>161</v>
      </c>
      <c r="C187" s="44">
        <v>58.59</v>
      </c>
      <c r="D187" s="44">
        <v>115.53100000000001</v>
      </c>
      <c r="E187" s="44">
        <v>163.97499999999999</v>
      </c>
      <c r="F187" s="44">
        <v>291.78399999999999</v>
      </c>
      <c r="G187" s="44">
        <v>72.733000000000004</v>
      </c>
      <c r="H187" s="44">
        <v>284.642</v>
      </c>
      <c r="I187" s="44">
        <v>381.96199999999999</v>
      </c>
      <c r="J187" s="44">
        <v>567.726</v>
      </c>
      <c r="K187" s="44">
        <v>99.91</v>
      </c>
      <c r="L187" s="44">
        <v>232.96600000000001</v>
      </c>
      <c r="M187" s="44">
        <v>317.03300000000002</v>
      </c>
      <c r="N187" s="44">
        <v>556.11500000000001</v>
      </c>
      <c r="O187" s="44">
        <v>170.87299999999999</v>
      </c>
      <c r="P187" s="44">
        <v>396.02</v>
      </c>
      <c r="Q187" s="44">
        <v>563.8845</v>
      </c>
      <c r="R187" s="44">
        <v>905.48800000000006</v>
      </c>
    </row>
    <row r="188" spans="1:39" ht="15" customHeight="1" outlineLevel="1" x14ac:dyDescent="0.2">
      <c r="B188" s="42" t="s">
        <v>196</v>
      </c>
      <c r="C188" s="3">
        <v>39.43</v>
      </c>
      <c r="D188" s="3">
        <v>97.793999999999997</v>
      </c>
      <c r="E188" s="3">
        <v>146.05600000000001</v>
      </c>
      <c r="F188" s="3">
        <v>192.94399999999999</v>
      </c>
      <c r="G188" s="3">
        <v>44.896000000000001</v>
      </c>
      <c r="H188" s="3">
        <v>89.409000000000006</v>
      </c>
      <c r="I188" s="3">
        <v>142.76599999999999</v>
      </c>
      <c r="J188" s="3">
        <v>198.29</v>
      </c>
      <c r="K188" s="3">
        <v>56.838999999999999</v>
      </c>
      <c r="L188" s="3">
        <v>124.206</v>
      </c>
      <c r="M188" s="3">
        <v>190.74</v>
      </c>
      <c r="N188" s="3">
        <v>301.05200000000002</v>
      </c>
      <c r="O188" s="3">
        <v>91.02</v>
      </c>
      <c r="P188" s="3">
        <v>196.72800000000001</v>
      </c>
      <c r="Q188" s="3">
        <v>315.05599999999998</v>
      </c>
      <c r="R188" s="3">
        <v>444.97699999999998</v>
      </c>
    </row>
    <row r="189" spans="1:39" ht="15" customHeight="1" outlineLevel="1" x14ac:dyDescent="0.2">
      <c r="B189" s="24" t="s">
        <v>197</v>
      </c>
      <c r="C189" s="3">
        <v>18.175999999999998</v>
      </c>
      <c r="D189" s="3">
        <v>31.523</v>
      </c>
      <c r="E189" s="3">
        <v>45.743000000000002</v>
      </c>
      <c r="F189" s="3">
        <v>65.222999999999999</v>
      </c>
      <c r="G189" s="3">
        <v>19.734999999999999</v>
      </c>
      <c r="H189" s="3">
        <v>30.736999999999998</v>
      </c>
      <c r="I189" s="3">
        <v>57.11</v>
      </c>
      <c r="J189" s="3">
        <v>76.718999999999994</v>
      </c>
      <c r="K189" s="3">
        <v>20.023</v>
      </c>
      <c r="L189" s="3">
        <v>41.009</v>
      </c>
      <c r="M189" s="3">
        <v>59.179000000000002</v>
      </c>
      <c r="N189" s="3">
        <v>81.159000000000006</v>
      </c>
      <c r="O189" s="3">
        <v>18.178000000000001</v>
      </c>
      <c r="P189" s="3">
        <v>49.503</v>
      </c>
      <c r="Q189" s="3">
        <v>75.772000000000006</v>
      </c>
      <c r="R189" s="3">
        <v>105.97499999999999</v>
      </c>
    </row>
    <row r="190" spans="1:39" ht="15" customHeight="1" outlineLevel="1" x14ac:dyDescent="0.2">
      <c r="B190" s="24" t="s">
        <v>198</v>
      </c>
      <c r="C190" s="3">
        <v>2.4929999999999999</v>
      </c>
      <c r="D190" s="3">
        <v>5.4219999999999997</v>
      </c>
      <c r="E190" s="3">
        <v>6.4189999999999996</v>
      </c>
      <c r="F190" s="3">
        <v>10.010999999999999</v>
      </c>
      <c r="G190" s="3">
        <v>2.8660000000000001</v>
      </c>
      <c r="H190" s="3">
        <v>6.7670000000000003</v>
      </c>
      <c r="I190" s="3">
        <v>10.432</v>
      </c>
      <c r="J190" s="3">
        <v>14.885</v>
      </c>
      <c r="K190" s="3">
        <v>5.2350000000000003</v>
      </c>
      <c r="L190" s="3">
        <v>11.259</v>
      </c>
      <c r="M190" s="3">
        <v>16.097000000000001</v>
      </c>
      <c r="N190" s="3">
        <v>21.414000000000001</v>
      </c>
      <c r="O190" s="3">
        <v>5.0510000000000002</v>
      </c>
      <c r="P190" s="3">
        <v>9.6270000000000007</v>
      </c>
      <c r="Q190" s="3">
        <v>14.259</v>
      </c>
      <c r="R190" s="3">
        <v>21.189</v>
      </c>
    </row>
    <row r="191" spans="1:39" ht="15" customHeight="1" outlineLevel="1" x14ac:dyDescent="0.2">
      <c r="B191" s="24" t="s">
        <v>199</v>
      </c>
      <c r="C191" s="3">
        <v>2.363</v>
      </c>
      <c r="D191" s="3">
        <v>5.2770000000000001</v>
      </c>
      <c r="E191" s="3">
        <v>7.798</v>
      </c>
      <c r="F191" s="3">
        <v>11.624000000000001</v>
      </c>
      <c r="G191" s="3">
        <v>3.08</v>
      </c>
      <c r="H191" s="3">
        <v>6.4160000000000004</v>
      </c>
      <c r="I191" s="3">
        <v>9.9149999999999991</v>
      </c>
      <c r="J191" s="3">
        <v>13.557</v>
      </c>
      <c r="K191" s="3">
        <v>3.4020000000000001</v>
      </c>
      <c r="L191" s="3">
        <v>6.8319999999999999</v>
      </c>
      <c r="M191" s="3">
        <v>10.917999999999999</v>
      </c>
      <c r="N191" s="3">
        <v>15.494</v>
      </c>
      <c r="O191" s="3">
        <v>4.37</v>
      </c>
      <c r="P191" s="3">
        <v>8.2390000000000008</v>
      </c>
      <c r="Q191" s="3">
        <v>12.334</v>
      </c>
      <c r="R191" s="3">
        <v>16.863</v>
      </c>
    </row>
    <row r="192" spans="1:39" ht="15" customHeight="1" outlineLevel="1" x14ac:dyDescent="0.2">
      <c r="B192" s="24" t="s">
        <v>200</v>
      </c>
      <c r="C192" s="3">
        <v>1.976</v>
      </c>
      <c r="D192" s="3">
        <v>3.52</v>
      </c>
      <c r="E192" s="3">
        <v>6.5309999999999997</v>
      </c>
      <c r="F192" s="3">
        <v>9.3059999999999992</v>
      </c>
      <c r="G192" s="3">
        <v>2.7629999999999999</v>
      </c>
      <c r="H192" s="3">
        <v>5.9169999999999998</v>
      </c>
      <c r="I192" s="3">
        <v>8.6969999999999992</v>
      </c>
      <c r="J192" s="3">
        <v>11.567</v>
      </c>
      <c r="K192" s="3">
        <v>3.6869999999999998</v>
      </c>
      <c r="L192" s="3">
        <v>6.5940000000000003</v>
      </c>
      <c r="M192" s="3">
        <v>9.6270000000000007</v>
      </c>
      <c r="N192" s="3">
        <v>12.111000000000001</v>
      </c>
      <c r="O192" s="3">
        <v>2.8959999999999999</v>
      </c>
      <c r="P192" s="3">
        <v>5.5990000000000002</v>
      </c>
      <c r="Q192" s="3">
        <v>8.3119999999999994</v>
      </c>
      <c r="R192" s="3">
        <v>12.385999999999999</v>
      </c>
    </row>
    <row r="193" spans="1:18" ht="15" customHeight="1" outlineLevel="1" x14ac:dyDescent="0.2">
      <c r="A193" s="55" t="s">
        <v>164</v>
      </c>
      <c r="B193" s="43" t="s">
        <v>162</v>
      </c>
      <c r="C193" s="44">
        <v>64.438000000000002</v>
      </c>
      <c r="D193" s="44">
        <v>143.53599999999997</v>
      </c>
      <c r="E193" s="44">
        <v>212.547</v>
      </c>
      <c r="F193" s="44">
        <v>289.108</v>
      </c>
      <c r="G193" s="44">
        <v>73.34</v>
      </c>
      <c r="H193" s="44">
        <v>139.24600000000001</v>
      </c>
      <c r="I193" s="44">
        <v>228.92</v>
      </c>
      <c r="J193" s="44">
        <v>315.01799999999997</v>
      </c>
      <c r="K193" s="44">
        <v>89.186000000000007</v>
      </c>
      <c r="L193" s="44">
        <v>189.9</v>
      </c>
      <c r="M193" s="44">
        <v>286.56099999999998</v>
      </c>
      <c r="N193" s="44">
        <v>431.23</v>
      </c>
      <c r="O193" s="44">
        <v>121.515</v>
      </c>
      <c r="P193" s="44">
        <v>269.69600000000003</v>
      </c>
      <c r="Q193" s="44">
        <v>425.74200000000002</v>
      </c>
      <c r="R193" s="44">
        <v>601.39</v>
      </c>
    </row>
    <row r="194" spans="1:18" x14ac:dyDescent="0.2">
      <c r="A194" s="55"/>
      <c r="B194" s="2"/>
    </row>
    <row r="195" spans="1:18" x14ac:dyDescent="0.2">
      <c r="A195" s="55"/>
      <c r="B195" s="2"/>
    </row>
    <row r="196" spans="1:18" ht="20.100000000000001" customHeight="1" outlineLevel="1" x14ac:dyDescent="0.2">
      <c r="B196" s="32" t="s">
        <v>165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</row>
    <row r="197" spans="1:18" outlineLevel="1" x14ac:dyDescent="0.2">
      <c r="B197" s="34" t="s">
        <v>65</v>
      </c>
      <c r="C197" s="35" t="s">
        <v>187</v>
      </c>
      <c r="D197" s="35" t="s">
        <v>189</v>
      </c>
      <c r="E197" s="35" t="s">
        <v>192</v>
      </c>
      <c r="F197" s="35">
        <v>2019</v>
      </c>
      <c r="G197" s="35" t="s">
        <v>194</v>
      </c>
      <c r="H197" s="35" t="s">
        <v>206</v>
      </c>
      <c r="I197" s="35" t="s">
        <v>207</v>
      </c>
      <c r="J197" s="35">
        <v>2020</v>
      </c>
      <c r="K197" s="35" t="s">
        <v>220</v>
      </c>
      <c r="L197" s="35" t="s">
        <v>221</v>
      </c>
      <c r="M197" s="35" t="s">
        <v>223</v>
      </c>
      <c r="N197" s="35">
        <v>2021</v>
      </c>
      <c r="O197" s="35" t="s">
        <v>233</v>
      </c>
      <c r="P197" s="35" t="s">
        <v>234</v>
      </c>
      <c r="Q197" s="35" t="s">
        <v>235</v>
      </c>
      <c r="R197" s="35">
        <v>2022</v>
      </c>
    </row>
    <row r="198" spans="1:18" ht="15" customHeight="1" outlineLevel="1" x14ac:dyDescent="0.2">
      <c r="B198" s="42" t="s">
        <v>196</v>
      </c>
      <c r="C198" s="3"/>
      <c r="D198" s="3"/>
      <c r="E198" s="3"/>
      <c r="F198" s="3">
        <v>1562.0299</v>
      </c>
      <c r="G198" s="3">
        <v>1257.6210000000001</v>
      </c>
      <c r="H198" s="3">
        <v>488.63400000000001</v>
      </c>
      <c r="I198" s="3">
        <v>-483</v>
      </c>
      <c r="J198" s="3">
        <v>-336.44799999999998</v>
      </c>
      <c r="K198" s="3">
        <v>-855.07600000000002</v>
      </c>
      <c r="L198" s="3">
        <v>-1236.6199999999999</v>
      </c>
      <c r="M198" s="3">
        <v>-1560.7309</v>
      </c>
      <c r="N198" s="3">
        <v>-2351</v>
      </c>
      <c r="O198" s="3">
        <v>-3295</v>
      </c>
      <c r="P198" s="3">
        <v>-3263</v>
      </c>
      <c r="Q198" s="3">
        <v>-3444</v>
      </c>
      <c r="R198" s="3">
        <v>-2948.58</v>
      </c>
    </row>
    <row r="199" spans="1:18" ht="15" customHeight="1" outlineLevel="1" x14ac:dyDescent="0.2">
      <c r="B199" s="24" t="s">
        <v>197</v>
      </c>
      <c r="C199" s="3"/>
      <c r="D199" s="3"/>
      <c r="E199" s="3"/>
      <c r="F199" s="3">
        <v>569.62900000000002</v>
      </c>
      <c r="G199" s="3">
        <v>408.76900000000001</v>
      </c>
      <c r="H199" s="3">
        <v>146.74799999999999</v>
      </c>
      <c r="I199" s="3">
        <v>224</v>
      </c>
      <c r="J199" s="3">
        <v>347.18200000000002</v>
      </c>
      <c r="K199" s="3">
        <v>889.71</v>
      </c>
      <c r="L199" s="3">
        <v>1035.1875</v>
      </c>
      <c r="M199" s="3">
        <v>1481.0229999999999</v>
      </c>
      <c r="N199" s="3">
        <v>2076</v>
      </c>
      <c r="O199" s="3">
        <v>1517</v>
      </c>
      <c r="P199" s="3">
        <v>1424</v>
      </c>
      <c r="Q199" s="3">
        <v>2436</v>
      </c>
      <c r="R199" s="3">
        <v>2043.203</v>
      </c>
    </row>
    <row r="200" spans="1:18" ht="15" customHeight="1" outlineLevel="1" x14ac:dyDescent="0.2">
      <c r="B200" s="24" t="s">
        <v>198</v>
      </c>
      <c r="C200" s="3"/>
      <c r="D200" s="3"/>
      <c r="E200" s="3"/>
      <c r="F200" s="3">
        <v>-47.063300000000005</v>
      </c>
      <c r="G200" s="3">
        <v>-60.313000000000002</v>
      </c>
      <c r="H200" s="3">
        <v>-122.461</v>
      </c>
      <c r="I200" s="3">
        <v>-153</v>
      </c>
      <c r="J200" s="3">
        <v>-176.11779999999999</v>
      </c>
      <c r="K200" s="3">
        <v>-199.0154</v>
      </c>
      <c r="L200" s="3">
        <v>-242.892</v>
      </c>
      <c r="M200" s="3">
        <v>-282.31900000000002</v>
      </c>
      <c r="N200" s="3">
        <v>-264</v>
      </c>
      <c r="O200" s="3">
        <v>-266</v>
      </c>
      <c r="P200" s="3">
        <v>-282</v>
      </c>
      <c r="Q200" s="3">
        <v>-367</v>
      </c>
      <c r="R200" s="3">
        <v>-117.80200000000001</v>
      </c>
    </row>
    <row r="201" spans="1:18" ht="15" customHeight="1" outlineLevel="1" x14ac:dyDescent="0.2">
      <c r="B201" s="24" t="s">
        <v>199</v>
      </c>
      <c r="C201" s="3"/>
      <c r="D201" s="3"/>
      <c r="E201" s="3"/>
      <c r="F201" s="3">
        <v>11.2872</v>
      </c>
      <c r="G201" s="3">
        <v>45.056199999999997</v>
      </c>
      <c r="H201" s="3">
        <v>158.37799999999999</v>
      </c>
      <c r="I201" s="3">
        <v>180</v>
      </c>
      <c r="J201" s="3">
        <v>178.49600000000001</v>
      </c>
      <c r="K201" s="3">
        <v>98.876100000000008</v>
      </c>
      <c r="L201" s="3">
        <v>89.897999999999996</v>
      </c>
      <c r="M201" s="3">
        <v>143.553</v>
      </c>
      <c r="N201" s="3">
        <v>169</v>
      </c>
      <c r="O201" s="3">
        <v>139</v>
      </c>
      <c r="P201" s="3">
        <v>138</v>
      </c>
      <c r="Q201" s="3">
        <v>235</v>
      </c>
      <c r="R201" s="3">
        <v>248.14699999999999</v>
      </c>
    </row>
    <row r="202" spans="1:18" ht="15" customHeight="1" outlineLevel="1" x14ac:dyDescent="0.2">
      <c r="B202" s="24" t="s">
        <v>200</v>
      </c>
      <c r="C202" s="3"/>
      <c r="D202" s="3"/>
      <c r="E202" s="3"/>
      <c r="F202" s="3">
        <v>1233.1412</v>
      </c>
      <c r="G202" s="3">
        <v>1680.4253999999999</v>
      </c>
      <c r="H202" s="3">
        <v>1147.4369999999999</v>
      </c>
      <c r="I202" s="3">
        <v>1130</v>
      </c>
      <c r="J202" s="3">
        <v>1033.2070000000001</v>
      </c>
      <c r="K202" s="3">
        <v>1073.1110000000001</v>
      </c>
      <c r="L202" s="3">
        <v>1066.9525000000001</v>
      </c>
      <c r="M202" s="3">
        <v>1409.83</v>
      </c>
      <c r="N202" s="3">
        <v>2048</v>
      </c>
      <c r="O202" s="3">
        <v>2564</v>
      </c>
      <c r="P202" s="3">
        <v>3052</v>
      </c>
      <c r="Q202" s="3">
        <v>3056</v>
      </c>
      <c r="R202" s="3">
        <v>2073.864</v>
      </c>
    </row>
    <row r="203" spans="1:18" ht="15" customHeight="1" outlineLevel="1" x14ac:dyDescent="0.2">
      <c r="A203" s="55" t="s">
        <v>164</v>
      </c>
      <c r="B203" s="43" t="s">
        <v>166</v>
      </c>
      <c r="C203" s="44">
        <v>4201</v>
      </c>
      <c r="D203" s="44">
        <v>3606.0320000000002</v>
      </c>
      <c r="E203" s="44">
        <v>3508.4549999999999</v>
      </c>
      <c r="F203" s="44">
        <v>3329.0230000000001</v>
      </c>
      <c r="G203" s="44">
        <v>3331.5577000000003</v>
      </c>
      <c r="H203" s="44">
        <v>1818.7360000000001</v>
      </c>
      <c r="I203" s="44">
        <v>899</v>
      </c>
      <c r="J203" s="44">
        <v>1046.3192000000001</v>
      </c>
      <c r="K203" s="44">
        <v>1007.6057000000002</v>
      </c>
      <c r="L203" s="44">
        <v>712.52599999999995</v>
      </c>
      <c r="M203" s="44">
        <v>1191.3561000000002</v>
      </c>
      <c r="N203" s="44">
        <v>1678</v>
      </c>
      <c r="O203" s="44">
        <v>659</v>
      </c>
      <c r="P203" s="44">
        <v>1069</v>
      </c>
      <c r="Q203" s="44">
        <v>1917</v>
      </c>
      <c r="R203" s="44">
        <v>1298.8320000000001</v>
      </c>
    </row>
    <row r="204" spans="1:18" x14ac:dyDescent="0.2">
      <c r="A204" s="55"/>
      <c r="B204" s="2"/>
    </row>
    <row r="206" spans="1:18" ht="20.100000000000001" customHeight="1" outlineLevel="1" x14ac:dyDescent="0.2">
      <c r="B206" s="32" t="s">
        <v>138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</row>
    <row r="207" spans="1:18" outlineLevel="1" x14ac:dyDescent="0.2">
      <c r="B207" s="34" t="s">
        <v>65</v>
      </c>
      <c r="C207" s="35" t="s">
        <v>187</v>
      </c>
      <c r="D207" s="35" t="s">
        <v>189</v>
      </c>
      <c r="E207" s="35" t="s">
        <v>192</v>
      </c>
      <c r="F207" s="35">
        <v>2019</v>
      </c>
      <c r="G207" s="35" t="s">
        <v>194</v>
      </c>
      <c r="H207" s="35" t="s">
        <v>206</v>
      </c>
      <c r="I207" s="35" t="s">
        <v>207</v>
      </c>
      <c r="J207" s="35">
        <v>2020</v>
      </c>
      <c r="K207" s="35" t="s">
        <v>220</v>
      </c>
      <c r="L207" s="35" t="s">
        <v>221</v>
      </c>
      <c r="M207" s="35" t="s">
        <v>223</v>
      </c>
      <c r="N207" s="35">
        <v>2021</v>
      </c>
      <c r="O207" s="35" t="s">
        <v>233</v>
      </c>
      <c r="P207" s="35" t="s">
        <v>234</v>
      </c>
      <c r="Q207" s="35" t="s">
        <v>235</v>
      </c>
      <c r="R207" s="35">
        <v>2022</v>
      </c>
    </row>
    <row r="208" spans="1:18" ht="15" customHeight="1" outlineLevel="1" x14ac:dyDescent="0.2">
      <c r="B208" s="9" t="s">
        <v>148</v>
      </c>
      <c r="C208" s="3">
        <f t="shared" ref="C208:D208" si="49">-C203</f>
        <v>-4201</v>
      </c>
      <c r="D208" s="3">
        <f t="shared" si="49"/>
        <v>-3606.0320000000002</v>
      </c>
      <c r="E208" s="3">
        <f t="shared" ref="E208:R208" si="50">-E203</f>
        <v>-3508.4549999999999</v>
      </c>
      <c r="F208" s="3">
        <f t="shared" si="50"/>
        <v>-3329.0230000000001</v>
      </c>
      <c r="G208" s="3">
        <f t="shared" si="50"/>
        <v>-3331.5577000000003</v>
      </c>
      <c r="H208" s="3">
        <f t="shared" si="50"/>
        <v>-1818.7360000000001</v>
      </c>
      <c r="I208" s="3">
        <f t="shared" si="50"/>
        <v>-899</v>
      </c>
      <c r="J208" s="3">
        <f t="shared" si="50"/>
        <v>-1046.3192000000001</v>
      </c>
      <c r="K208" s="3">
        <f t="shared" si="50"/>
        <v>-1007.6057000000002</v>
      </c>
      <c r="L208" s="3">
        <f t="shared" si="50"/>
        <v>-712.52599999999995</v>
      </c>
      <c r="M208" s="3">
        <f t="shared" si="50"/>
        <v>-1191.3561000000002</v>
      </c>
      <c r="N208" s="3">
        <f t="shared" si="50"/>
        <v>-1678</v>
      </c>
      <c r="O208" s="3">
        <f t="shared" si="50"/>
        <v>-659</v>
      </c>
      <c r="P208" s="3">
        <f t="shared" si="50"/>
        <v>-1069</v>
      </c>
      <c r="Q208" s="3">
        <f t="shared" si="50"/>
        <v>-1917</v>
      </c>
      <c r="R208" s="3">
        <f t="shared" si="50"/>
        <v>-1298.8320000000001</v>
      </c>
    </row>
    <row r="209" spans="1:18" ht="15" customHeight="1" outlineLevel="1" x14ac:dyDescent="0.2">
      <c r="B209" s="1" t="s">
        <v>139</v>
      </c>
      <c r="C209" s="50">
        <f t="shared" ref="C209:R209" si="51">C208/C23*-1</f>
        <v>4.4566513479222101</v>
      </c>
      <c r="D209" s="50">
        <f t="shared" si="51"/>
        <v>2.5806071171453557</v>
      </c>
      <c r="E209" s="50">
        <f t="shared" si="51"/>
        <v>1.9500180914644414</v>
      </c>
      <c r="F209" s="50">
        <f t="shared" si="51"/>
        <v>1.7329202601913123</v>
      </c>
      <c r="G209" s="50">
        <f t="shared" si="51"/>
        <v>26.944758338455568</v>
      </c>
      <c r="H209" s="50">
        <f t="shared" si="51"/>
        <v>5.2131600520531771</v>
      </c>
      <c r="I209" s="50">
        <f t="shared" si="51"/>
        <v>2.3856405139609063</v>
      </c>
      <c r="J209" s="50">
        <f t="shared" si="51"/>
        <v>2.2807948521205361</v>
      </c>
      <c r="K209" s="50">
        <f t="shared" si="51"/>
        <v>1.9522399482298967</v>
      </c>
      <c r="L209" s="50">
        <f t="shared" si="51"/>
        <v>0.86204618705175229</v>
      </c>
      <c r="M209" s="50">
        <f t="shared" si="51"/>
        <v>0.97923676884344069</v>
      </c>
      <c r="N209" s="50">
        <f t="shared" si="51"/>
        <v>2.3049450549450547</v>
      </c>
      <c r="O209" s="50">
        <f t="shared" si="51"/>
        <v>5.1889763779527556</v>
      </c>
      <c r="P209" s="50">
        <f t="shared" si="51"/>
        <v>0.84572784810126578</v>
      </c>
      <c r="Q209" s="50">
        <f t="shared" si="51"/>
        <v>0.97309644670050766</v>
      </c>
      <c r="R209" s="50">
        <f t="shared" si="51"/>
        <v>0.38091338950308573</v>
      </c>
    </row>
    <row r="210" spans="1:18" ht="15" customHeight="1" outlineLevel="1" x14ac:dyDescent="0.2">
      <c r="B210" s="1" t="s">
        <v>140</v>
      </c>
      <c r="C210" s="50">
        <f t="shared" ref="C210:D210" si="52">C208/C133*-1</f>
        <v>0.8618813139576561</v>
      </c>
      <c r="D210" s="50">
        <f t="shared" si="52"/>
        <v>0.69735329120371858</v>
      </c>
      <c r="E210" s="50">
        <f t="shared" ref="E210:R210" si="53">E208/E133*-1</f>
        <v>0.65077428943940319</v>
      </c>
      <c r="F210" s="50">
        <f t="shared" si="53"/>
        <v>0.60562156281665747</v>
      </c>
      <c r="G210" s="50">
        <f t="shared" si="53"/>
        <v>0.61722007706270954</v>
      </c>
      <c r="H210" s="50">
        <f t="shared" si="53"/>
        <v>0.31971603548009547</v>
      </c>
      <c r="I210" s="50">
        <f t="shared" si="53"/>
        <v>0.14440509758025888</v>
      </c>
      <c r="J210" s="50">
        <f t="shared" si="53"/>
        <v>0.18006147068440348</v>
      </c>
      <c r="K210" s="50">
        <f t="shared" si="53"/>
        <v>0.15480525007451384</v>
      </c>
      <c r="L210" s="50">
        <f t="shared" si="53"/>
        <v>0.1030259608718064</v>
      </c>
      <c r="M210" s="50">
        <f t="shared" si="53"/>
        <v>0.1606174846811867</v>
      </c>
      <c r="N210" s="50">
        <f t="shared" si="53"/>
        <v>0.21720389465481668</v>
      </c>
      <c r="O210" s="50">
        <f t="shared" si="53"/>
        <v>8.5212325452119916E-2</v>
      </c>
      <c r="P210" s="50">
        <f t="shared" si="53"/>
        <v>0.11936369436552</v>
      </c>
      <c r="Q210" s="50">
        <f t="shared" si="53"/>
        <v>0.19818390349715501</v>
      </c>
      <c r="R210" s="50">
        <f t="shared" si="53"/>
        <v>0.12264470925950408</v>
      </c>
    </row>
    <row r="211" spans="1:18" ht="15" customHeight="1" outlineLevel="1" x14ac:dyDescent="0.2">
      <c r="B211" s="1" t="s">
        <v>141</v>
      </c>
      <c r="C211" s="50">
        <f t="shared" ref="C211:R211" si="54">(C131+C132)/C133</f>
        <v>0.15798257813915292</v>
      </c>
      <c r="D211" s="50">
        <f t="shared" si="54"/>
        <v>0.15063780379367653</v>
      </c>
      <c r="E211" s="50">
        <f t="shared" si="54"/>
        <v>0.14338363566856438</v>
      </c>
      <c r="F211" s="50">
        <f t="shared" si="54"/>
        <v>0.14294098277747153</v>
      </c>
      <c r="G211" s="50">
        <f t="shared" si="54"/>
        <v>0.13008083840433726</v>
      </c>
      <c r="H211" s="50">
        <f t="shared" si="54"/>
        <v>0.21306216399893263</v>
      </c>
      <c r="I211" s="50">
        <f t="shared" si="54"/>
        <v>0.32834426303765996</v>
      </c>
      <c r="J211" s="50">
        <f t="shared" si="54"/>
        <v>0.39507890344008673</v>
      </c>
      <c r="K211" s="50">
        <f t="shared" si="54"/>
        <v>0.38117289356354267</v>
      </c>
      <c r="L211" s="50">
        <f t="shared" si="54"/>
        <v>0.35631135695060062</v>
      </c>
      <c r="M211" s="50">
        <f t="shared" si="54"/>
        <v>0.35694648358241143</v>
      </c>
      <c r="N211" s="50">
        <f t="shared" si="54"/>
        <v>0.44415982996481762</v>
      </c>
      <c r="O211" s="50">
        <f t="shared" si="54"/>
        <v>0.59826448742070837</v>
      </c>
      <c r="P211" s="50">
        <f t="shared" si="54"/>
        <v>0.56169841249636276</v>
      </c>
      <c r="Q211" s="50">
        <f t="shared" si="54"/>
        <v>0.5617583223282856</v>
      </c>
      <c r="R211" s="50">
        <f t="shared" si="54"/>
        <v>0.42899945232384662</v>
      </c>
    </row>
    <row r="212" spans="1:18" ht="15" customHeight="1" outlineLevel="1" x14ac:dyDescent="0.2">
      <c r="B212" s="1" t="s">
        <v>142</v>
      </c>
      <c r="C212" s="50">
        <f t="shared" ref="C212:R212" si="55">C129/C133</f>
        <v>2.7564133838002016</v>
      </c>
      <c r="D212" s="50">
        <f t="shared" si="55"/>
        <v>2.4097094077654995</v>
      </c>
      <c r="E212" s="50">
        <f t="shared" si="55"/>
        <v>2.2706458171379622</v>
      </c>
      <c r="F212" s="50">
        <f t="shared" si="55"/>
        <v>2.3037015610702087</v>
      </c>
      <c r="G212" s="50">
        <f t="shared" si="55"/>
        <v>2.345885511595533</v>
      </c>
      <c r="H212" s="50">
        <f t="shared" si="55"/>
        <v>2.2358802643463291</v>
      </c>
      <c r="I212" s="50">
        <f t="shared" si="55"/>
        <v>2.347899347558815</v>
      </c>
      <c r="J212" s="50">
        <f t="shared" si="55"/>
        <v>2.3949875234473148</v>
      </c>
      <c r="K212" s="50">
        <f t="shared" si="55"/>
        <v>2.4011780864851913</v>
      </c>
      <c r="L212" s="50">
        <f t="shared" si="55"/>
        <v>2.3099682836212052</v>
      </c>
      <c r="M212" s="50">
        <f t="shared" si="55"/>
        <v>2.3465501830168458</v>
      </c>
      <c r="N212" s="50">
        <f t="shared" si="55"/>
        <v>2.8365395717536561</v>
      </c>
      <c r="O212" s="50">
        <f t="shared" si="55"/>
        <v>3.3356501862063874</v>
      </c>
      <c r="P212" s="50">
        <f t="shared" si="55"/>
        <v>3.1262426832511858</v>
      </c>
      <c r="Q212" s="50">
        <f t="shared" si="55"/>
        <v>3.3135096704854021</v>
      </c>
      <c r="R212" s="50">
        <f t="shared" si="55"/>
        <v>3.0393538365658817</v>
      </c>
    </row>
    <row r="213" spans="1:18" ht="15" customHeight="1" outlineLevel="1" x14ac:dyDescent="0.2">
      <c r="B213" s="1" t="s">
        <v>143</v>
      </c>
      <c r="C213" s="50">
        <v>1.3258674495855256</v>
      </c>
      <c r="D213" s="50">
        <v>1.3580654501923284</v>
      </c>
      <c r="E213" s="50">
        <v>1.4139050112512892</v>
      </c>
      <c r="F213" s="50">
        <v>1.3870722449481416</v>
      </c>
      <c r="G213" s="50">
        <f>8550.829/6681.968</f>
        <v>1.2796872119112213</v>
      </c>
      <c r="H213" s="50">
        <f>7924.878/6357.436</f>
        <v>1.2465525409929412</v>
      </c>
      <c r="I213" s="50">
        <f>9206.766/7677.233</f>
        <v>1.1992297224794402</v>
      </c>
      <c r="J213" s="50">
        <f>9013.197/7474.512</f>
        <v>1.2058575864216956</v>
      </c>
      <c r="K213" s="50">
        <f>10590.856/8463.673</f>
        <v>1.2513309528853489</v>
      </c>
      <c r="L213" s="50">
        <f>10440.011/8251.577</f>
        <v>1.2652140312088225</v>
      </c>
      <c r="M213" s="50">
        <f>11903.475/9169.961</f>
        <v>1.2980943975661403</v>
      </c>
      <c r="N213" s="50">
        <f>15407.337/13073.283</f>
        <v>1.1785361794738169</v>
      </c>
      <c r="O213" s="50">
        <f>18580.004/16839.474</f>
        <v>1.1033601168302527</v>
      </c>
      <c r="P213" s="50">
        <f>20101.916/17651.197</f>
        <v>1.1388415187933147</v>
      </c>
      <c r="Q213" s="50">
        <f>23258.933/20892.24</f>
        <v>1.1132809598204882</v>
      </c>
      <c r="R213" s="50">
        <f>22403.234/18287.702</f>
        <v>1.225043693297277</v>
      </c>
    </row>
    <row r="214" spans="1:18" ht="15" customHeight="1" outlineLevel="1" x14ac:dyDescent="0.2">
      <c r="B214" s="1" t="s">
        <v>144</v>
      </c>
      <c r="C214" s="50">
        <v>0.59546493337676831</v>
      </c>
      <c r="D214" s="50">
        <v>0.65173690980210186</v>
      </c>
      <c r="E214" s="50">
        <v>0.6473765874214753</v>
      </c>
      <c r="F214" s="50">
        <v>0.61618442621655656</v>
      </c>
      <c r="G214" s="50">
        <f>3935.45/6681.968</f>
        <v>0.5889657059117912</v>
      </c>
      <c r="H214" s="50">
        <f>(3014.76+4.105)/6357.436</f>
        <v>0.47485574373064871</v>
      </c>
      <c r="I214" s="50">
        <f>2944.223/7677.233</f>
        <v>0.38350053984293558</v>
      </c>
      <c r="J214" s="50">
        <f>3259.116/7474.512</f>
        <v>0.43603060641283337</v>
      </c>
      <c r="K214" s="50">
        <f>3413.211/8463.673</f>
        <v>0.40327774950662665</v>
      </c>
      <c r="L214" s="50">
        <f>3174.441/8251.577</f>
        <v>0.38470718991048619</v>
      </c>
      <c r="M214" s="50">
        <f>7474.512/9169.961</f>
        <v>0.81510837396145963</v>
      </c>
      <c r="N214" s="50">
        <f>5064.108/13073.283</f>
        <v>0.38736314359598889</v>
      </c>
      <c r="O214" s="50">
        <f>3244.979/16389.474</f>
        <v>0.1979916500065835</v>
      </c>
      <c r="P214" s="50">
        <f>3463.407/17651.197</f>
        <v>0.1962137185370488</v>
      </c>
      <c r="Q214" s="50">
        <f>4145.651/20892.24</f>
        <v>0.19843018268984081</v>
      </c>
      <c r="R214" s="50">
        <f>4151.531/18287.702</f>
        <v>0.22701217462970469</v>
      </c>
    </row>
    <row r="215" spans="1:18" ht="15" customHeight="1" outlineLevel="1" x14ac:dyDescent="0.2">
      <c r="B215" s="1" t="s">
        <v>201</v>
      </c>
      <c r="C215" s="50">
        <v>1.2434449100876284</v>
      </c>
      <c r="D215" s="50">
        <v>1.3307228398401125</v>
      </c>
      <c r="E215" s="50">
        <v>1.2025398112981713</v>
      </c>
      <c r="F215" s="50">
        <v>1.1825215837550431</v>
      </c>
      <c r="G215" s="50">
        <f t="shared" ref="G215:R215" si="56">SUM(D34:G34)/AVERAGE(G129,C129)</f>
        <v>0.99915394882126074</v>
      </c>
      <c r="H215" s="50">
        <f t="shared" si="56"/>
        <v>0.95138709787338949</v>
      </c>
      <c r="I215" s="50">
        <f t="shared" si="56"/>
        <v>0.86975423082802905</v>
      </c>
      <c r="J215" s="50">
        <f t="shared" si="56"/>
        <v>0.88259587096114978</v>
      </c>
      <c r="K215" s="50">
        <f t="shared" si="56"/>
        <v>0.88355364388654656</v>
      </c>
      <c r="L215" s="50">
        <f t="shared" si="56"/>
        <v>0.93891624002038021</v>
      </c>
      <c r="M215" s="50">
        <f t="shared" si="56"/>
        <v>0.89791497317636271</v>
      </c>
      <c r="N215" s="50">
        <f t="shared" si="56"/>
        <v>0.90553690328318759</v>
      </c>
      <c r="O215" s="50">
        <f t="shared" si="56"/>
        <v>0.85590581648402719</v>
      </c>
      <c r="P215" s="50">
        <f t="shared" si="56"/>
        <v>0.99134404618716077</v>
      </c>
      <c r="Q215" s="50">
        <f t="shared" si="56"/>
        <v>1.0684479622408614</v>
      </c>
      <c r="R215" s="50">
        <f t="shared" si="56"/>
        <v>1.1337508418061069</v>
      </c>
    </row>
    <row r="216" spans="1:18" ht="15" customHeight="1" outlineLevel="1" x14ac:dyDescent="0.2">
      <c r="B216" s="1" t="s">
        <v>145</v>
      </c>
      <c r="C216" s="38">
        <v>0.48991622754824227</v>
      </c>
      <c r="D216" s="38">
        <v>0.4789023411525149</v>
      </c>
      <c r="E216" s="38">
        <v>0.38897181131102482</v>
      </c>
      <c r="F216" s="74">
        <v>0.28521745966870155</v>
      </c>
      <c r="G216" s="74">
        <f t="shared" ref="G216:R216" si="57">SUM(D44:G44)/AVERAGE(G133,C133)</f>
        <v>0.13246094710980041</v>
      </c>
      <c r="H216" s="74">
        <f t="shared" si="57"/>
        <v>6.9416768020697545E-2</v>
      </c>
      <c r="I216" s="74">
        <f t="shared" si="57"/>
        <v>1.8330439091232366E-2</v>
      </c>
      <c r="J216" s="74">
        <f t="shared" si="57"/>
        <v>-1.1920652790072669E-2</v>
      </c>
      <c r="K216" s="74">
        <f t="shared" si="57"/>
        <v>4.9656902902622778E-2</v>
      </c>
      <c r="L216" s="74">
        <f t="shared" si="57"/>
        <v>8.1901479803020844E-2</v>
      </c>
      <c r="M216" s="74">
        <f t="shared" si="57"/>
        <v>0.14715516328942574</v>
      </c>
      <c r="N216" s="74">
        <f t="shared" si="57"/>
        <v>0.12254254467227525</v>
      </c>
      <c r="O216" s="74">
        <f t="shared" si="57"/>
        <v>7.2889397164806177E-2</v>
      </c>
      <c r="P216" s="74">
        <f t="shared" si="57"/>
        <v>0.14750242363708177</v>
      </c>
      <c r="Q216" s="74">
        <f t="shared" si="57"/>
        <v>0.16676110684355414</v>
      </c>
      <c r="R216" s="74">
        <f t="shared" si="57"/>
        <v>0.37655121355168197</v>
      </c>
    </row>
    <row r="217" spans="1:18" ht="15" customHeight="1" outlineLevel="1" x14ac:dyDescent="0.2">
      <c r="A217" s="55" t="s">
        <v>164</v>
      </c>
      <c r="B217" s="51" t="s">
        <v>146</v>
      </c>
      <c r="C217" s="41">
        <v>0.16683848980353724</v>
      </c>
      <c r="D217" s="41">
        <v>0.17862225152116365</v>
      </c>
      <c r="E217" s="41">
        <v>0.1490613793709005</v>
      </c>
      <c r="F217" s="65">
        <v>0.11456966019382098</v>
      </c>
      <c r="G217" s="65">
        <f t="shared" ref="G217:R217" si="58">SUM(D44:G44)/AVERAGE(G129,C129)</f>
        <v>5.2135834742907727E-2</v>
      </c>
      <c r="H217" s="65">
        <f t="shared" si="58"/>
        <v>2.9938409894893863E-2</v>
      </c>
      <c r="I217" s="65">
        <f t="shared" si="58"/>
        <v>7.9282299718368004E-3</v>
      </c>
      <c r="J217" s="65">
        <f t="shared" si="58"/>
        <v>-5.0712972947776404E-3</v>
      </c>
      <c r="K217" s="65">
        <f t="shared" si="58"/>
        <v>2.08983857780045E-2</v>
      </c>
      <c r="L217" s="65">
        <f t="shared" si="58"/>
        <v>3.597643190927393E-2</v>
      </c>
      <c r="M217" s="65">
        <f t="shared" si="58"/>
        <v>6.2694830106554439E-2</v>
      </c>
      <c r="N217" s="65">
        <f t="shared" si="58"/>
        <v>4.6295058475985584E-2</v>
      </c>
      <c r="O217" s="65">
        <f t="shared" si="58"/>
        <v>2.5060015435385566E-2</v>
      </c>
      <c r="P217" s="65">
        <f t="shared" si="58"/>
        <v>5.3239226949314503E-2</v>
      </c>
      <c r="Q217" s="65">
        <f t="shared" si="58"/>
        <v>5.7626288531230634E-2</v>
      </c>
      <c r="R217" s="65">
        <f t="shared" si="58"/>
        <v>0.12747993389689471</v>
      </c>
    </row>
    <row r="218" spans="1:18" x14ac:dyDescent="0.2">
      <c r="G218" s="3"/>
      <c r="K218" s="3"/>
      <c r="O218" s="3"/>
    </row>
    <row r="219" spans="1:18" ht="15" x14ac:dyDescent="0.25">
      <c r="C219"/>
      <c r="O219" s="50"/>
      <c r="P219" s="50"/>
      <c r="Q219" s="50"/>
      <c r="R219" s="50"/>
    </row>
    <row r="220" spans="1:18" x14ac:dyDescent="0.2"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</row>
    <row r="221" spans="1:18" x14ac:dyDescent="0.2"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</row>
    <row r="222" spans="1:18" x14ac:dyDescent="0.2"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</row>
    <row r="223" spans="1:18" x14ac:dyDescent="0.2">
      <c r="O223" s="107"/>
      <c r="P223" s="107"/>
      <c r="Q223" s="107"/>
      <c r="R223" s="107"/>
    </row>
    <row r="224" spans="1:18" x14ac:dyDescent="0.2"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</row>
  </sheetData>
  <phoneticPr fontId="22" type="noConversion"/>
  <hyperlinks>
    <hyperlink ref="A29" location="'Finansal Veriler - Yeni Segment'!A1" display="Yukarı" xr:uid="{329C35B1-8184-4437-A83D-3059F1E40AA3}"/>
    <hyperlink ref="B12" location="'Finansal Veriler - Yeni Segment'!A193" display="Maddi, maddi olmayan duran varlıklar ile ilgili bölümler bazında bilgi" xr:uid="{23E6AC96-E078-4A45-812E-3B4604A7FD48}"/>
    <hyperlink ref="B13" location="'Finansal Veriler - Yeni Segment'!A203" display="Net Nakit Durumu" xr:uid="{FAA4C718-E7B1-4C47-AA6B-2FFC51B3D949}"/>
    <hyperlink ref="A45" location="'Finansal Veriler - Yeni Segment'!A1" display="Yukarı" xr:uid="{AF82A599-9DA3-4687-B098-C00008990085}"/>
    <hyperlink ref="A67" location="'Finansal Veriler - Yeni Segment'!A1" display="Yukarı" xr:uid="{E6B88B7F-CD72-4E49-9F60-02C8E8F4F2B4}"/>
    <hyperlink ref="A104" location="'Finansal Veriler - Yeni Segment'!A1" display="Yukarı" xr:uid="{C68EFFD0-FB86-4D8A-A3A7-35FB65072CA4}"/>
    <hyperlink ref="A203" location="'Finansal Veriler - Yeni Segment'!A1" display="Yukarı" xr:uid="{A7656880-1AF3-4E39-97A2-684C35206E5C}"/>
    <hyperlink ref="A217" location="'Finansal Veriler - Yeni Segment'!A1" display="Yukarı" xr:uid="{C452E487-8791-45FE-A673-611B3B58A441}"/>
    <hyperlink ref="A193" location="'Finansal Veriler - Yeni Segment'!A1" display="Yukarı" xr:uid="{C5557D13-64A3-43FD-9B39-45F35A1A1BC6}"/>
    <hyperlink ref="A177" location="'Finansal Veriler - Yeni Segment'!A1" display="Yukarı" xr:uid="{BCFA0509-0081-4176-B9CC-3DF7D8E90267}"/>
    <hyperlink ref="A162" location="'Finansal Veriler - Yeni Segment'!A1" display="Yukarı" xr:uid="{6340E92D-1C27-4D41-99E8-41F5E61B72B2}"/>
    <hyperlink ref="A134" location="'Finansal Veriler - Yeni Segment'!A1" display="Yukarı" xr:uid="{9D7BD947-F956-4D29-AECD-E5704ACC1FE0}"/>
    <hyperlink ref="A82" location="'Finansal Veriler - Yeni Segment'!A1" display="Yukarı" xr:uid="{2E486CAA-F6FE-4BF3-B6C2-285032365A35}"/>
    <hyperlink ref="A119" location="'Finansal Veriler - Yeni Segment'!A1" display="Yukarı" xr:uid="{6648595D-4633-4A5F-A20D-A048CA07F43F}"/>
    <hyperlink ref="B8" location="'Finansal Veriler - Yeni Segment'!A119" display="Konsolide FAVÖK ve Net Kar Marjları Dağılımı (Çeyreklik)" xr:uid="{609A07CD-7BDE-4911-9661-582E16BC6F59}"/>
    <hyperlink ref="B7" location="'Finansal Veriler - Yeni Segment'!A104" display="Konsolide Gelir, FAVÖK ve Net Kar Dağılımı (Çeyreklik)" xr:uid="{BEA36C51-D775-487B-BE92-6701E25C7C51}"/>
    <hyperlink ref="B6" location="'Finansal Veriler - Yeni Segment'!A82" display="Konsolide FAVÖK ve Net Kar Marjları Dağılımı (Kümülatif)" xr:uid="{4E30623C-CC30-41AF-9F7E-EF04D32B60EB}"/>
    <hyperlink ref="B5" location="'Finansal Veriler - Yeni Segment'!A67" display="Konsolide Gelir, FAVÖK ve Net Kar Dağılımı (Kümülatif)" xr:uid="{870E05AE-5DAE-4E26-AB97-FB4987932137}"/>
    <hyperlink ref="B4" location="'Finansal Veriler - Yeni Segment'!A45" display="Konsolide Özet Gelir Tablosu (Çeyreklik)" xr:uid="{E20909A2-AC7F-424A-96B6-E7C39D656BA1}"/>
    <hyperlink ref="B3" location="'Finansal Veriler - Yeni Segment'!A29" display="Konsolide Özet Gelir Tablosu (Kümülatif)" xr:uid="{AD102D3E-8BA7-4DE7-9411-C2EB2A595433}"/>
    <hyperlink ref="B9" location="'Finansal Veriler - Yeni Segment'!A134" display="Konsolide Özet Bilanço" xr:uid="{BBBBEBEF-0064-463F-AFDD-B57D17655486}"/>
    <hyperlink ref="B11" location="'Finansal Veriler - Yeni Segment'!A177" display="Konsolide Özet Nakit Akım Tablosu" xr:uid="{14B5D633-6839-48E0-A325-3E241206C1D9}"/>
    <hyperlink ref="B10" location="'Finansal Veriler - Yeni Segment'!A162" display="Bölümler bazında varlıklar ve kaynaklar:" xr:uid="{B55A583C-E4AD-46F2-B89D-2A25C162D2F3}"/>
    <hyperlink ref="B14" location="'Finansal Veriler - Yeni Segment'!A217" display="Rasyolar" xr:uid="{4721BD66-90E1-40E7-B6C2-3D59B37FD2D0}"/>
  </hyperlinks>
  <pageMargins left="0.25" right="0.25" top="0.75" bottom="0.75" header="0.3" footer="0.3"/>
  <pageSetup paperSize="8" scale="33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7DA6B-A3F1-47A3-8A54-14F607B1C084}">
  <sheetPr>
    <tabColor theme="7" tint="0.59999389629810485"/>
    <pageSetUpPr fitToPage="1"/>
  </sheetPr>
  <dimension ref="A2:R149"/>
  <sheetViews>
    <sheetView zoomScale="80" zoomScaleNormal="80" workbookViewId="0">
      <pane xSplit="2" topLeftCell="C1" activePane="topRight" state="frozen"/>
      <selection pane="topRight"/>
    </sheetView>
  </sheetViews>
  <sheetFormatPr defaultColWidth="9.140625" defaultRowHeight="12.75" outlineLevelRow="1" x14ac:dyDescent="0.2"/>
  <cols>
    <col min="1" max="1" width="8.7109375" style="56" customWidth="1"/>
    <col min="2" max="2" width="68.140625" style="1" customWidth="1"/>
    <col min="3" max="18" width="10.7109375" style="1" customWidth="1"/>
    <col min="19" max="16384" width="9.140625" style="1"/>
  </cols>
  <sheetData>
    <row r="2" spans="1:18" s="94" customFormat="1" ht="24" customHeight="1" x14ac:dyDescent="0.25">
      <c r="A2" s="93"/>
      <c r="B2" s="92" t="s">
        <v>163</v>
      </c>
    </row>
    <row r="3" spans="1:18" ht="15.95" customHeight="1" x14ac:dyDescent="0.2">
      <c r="A3" s="77" t="s">
        <v>203</v>
      </c>
      <c r="B3" s="55" t="s">
        <v>149</v>
      </c>
    </row>
    <row r="4" spans="1:18" ht="15.95" customHeight="1" x14ac:dyDescent="0.2">
      <c r="A4" s="77" t="s">
        <v>203</v>
      </c>
      <c r="B4" s="55" t="s">
        <v>150</v>
      </c>
    </row>
    <row r="5" spans="1:18" ht="15.95" customHeight="1" x14ac:dyDescent="0.2">
      <c r="A5" s="77" t="s">
        <v>203</v>
      </c>
      <c r="B5" s="55" t="s">
        <v>151</v>
      </c>
    </row>
    <row r="6" spans="1:18" ht="15.95" customHeight="1" x14ac:dyDescent="0.2">
      <c r="A6" s="77" t="s">
        <v>203</v>
      </c>
      <c r="B6" s="55" t="s">
        <v>218</v>
      </c>
    </row>
    <row r="7" spans="1:18" ht="15.95" customHeight="1" x14ac:dyDescent="0.2">
      <c r="A7" s="77" t="s">
        <v>203</v>
      </c>
      <c r="B7" s="55" t="s">
        <v>152</v>
      </c>
    </row>
    <row r="8" spans="1:18" ht="15.95" customHeight="1" x14ac:dyDescent="0.2">
      <c r="A8" s="77" t="s">
        <v>203</v>
      </c>
      <c r="B8" s="55" t="s">
        <v>215</v>
      </c>
    </row>
    <row r="9" spans="1:18" ht="15.95" customHeight="1" x14ac:dyDescent="0.2">
      <c r="A9" s="77" t="s">
        <v>203</v>
      </c>
      <c r="B9" s="55" t="s">
        <v>160</v>
      </c>
    </row>
    <row r="10" spans="1:18" ht="15.95" customHeight="1" x14ac:dyDescent="0.2">
      <c r="A10" s="77" t="s">
        <v>203</v>
      </c>
      <c r="B10" s="55" t="s">
        <v>165</v>
      </c>
    </row>
    <row r="11" spans="1:18" ht="15.95" customHeight="1" x14ac:dyDescent="0.2">
      <c r="A11" s="77"/>
      <c r="B11" s="55"/>
    </row>
    <row r="12" spans="1:18" x14ac:dyDescent="0.2">
      <c r="A12" s="77"/>
      <c r="B12" s="55"/>
    </row>
    <row r="13" spans="1:18" ht="15.95" customHeight="1" outlineLevel="1" x14ac:dyDescent="0.2">
      <c r="B13" s="86" t="s">
        <v>213</v>
      </c>
      <c r="C13" s="97">
        <v>5.3628999999999944</v>
      </c>
      <c r="D13" s="97">
        <v>5.6197000000000008</v>
      </c>
      <c r="E13" s="97">
        <v>5.6338000000000124</v>
      </c>
      <c r="F13" s="97">
        <v>5.6711999999999883</v>
      </c>
      <c r="G13" s="97">
        <v>6.0920999999999896</v>
      </c>
      <c r="H13" s="97">
        <v>6.4730999999999987</v>
      </c>
      <c r="I13" s="97">
        <v>6.7141999999999804</v>
      </c>
      <c r="J13" s="97">
        <v>7.0033999999999912</v>
      </c>
      <c r="K13" s="97">
        <v>7.3719999999999999</v>
      </c>
      <c r="L13" s="97">
        <v>7.8693000000000257</v>
      </c>
      <c r="M13" s="97">
        <v>8.0907999999999998</v>
      </c>
      <c r="N13" s="97">
        <v>8.8557000000000006</v>
      </c>
      <c r="O13" s="97">
        <v>13.924300000000001</v>
      </c>
      <c r="P13" s="97">
        <v>14.833299999999999</v>
      </c>
      <c r="Q13" s="97">
        <v>15.8622</v>
      </c>
      <c r="R13" s="97">
        <v>16.551200000000005</v>
      </c>
    </row>
    <row r="14" spans="1:18" ht="15.95" customHeight="1" outlineLevel="1" thickBot="1" x14ac:dyDescent="0.25">
      <c r="B14" s="88" t="s">
        <v>214</v>
      </c>
      <c r="C14" s="98">
        <v>5.6284000000000054</v>
      </c>
      <c r="D14" s="98">
        <v>5.7550999999999899</v>
      </c>
      <c r="E14" s="98">
        <v>5.6590999999999907</v>
      </c>
      <c r="F14" s="98">
        <v>5.9401999999999999</v>
      </c>
      <c r="G14" s="98">
        <v>6.5160000000000178</v>
      </c>
      <c r="H14" s="98">
        <v>6.8421999999999876</v>
      </c>
      <c r="I14" s="98">
        <v>7.8080000000000176</v>
      </c>
      <c r="J14" s="98">
        <v>7.3404999999999943</v>
      </c>
      <c r="K14" s="98">
        <v>8.3260000000000005</v>
      </c>
      <c r="L14" s="98">
        <v>8.7052000000000263</v>
      </c>
      <c r="M14" s="98">
        <v>8.8432999999999993</v>
      </c>
      <c r="N14" s="98">
        <v>12.977499999999999</v>
      </c>
      <c r="O14" s="98">
        <v>14.645799999999999</v>
      </c>
      <c r="P14" s="98">
        <v>16.669</v>
      </c>
      <c r="Q14" s="98">
        <v>18.503799999999998</v>
      </c>
      <c r="R14" s="98">
        <v>18.698299999999993</v>
      </c>
    </row>
    <row r="16" spans="1:18" ht="20.100000000000001" customHeight="1" outlineLevel="1" x14ac:dyDescent="0.2">
      <c r="B16" s="32" t="s">
        <v>149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outlineLevel="1" x14ac:dyDescent="0.2">
      <c r="B17" s="31" t="s">
        <v>244</v>
      </c>
      <c r="C17" s="35" t="s">
        <v>187</v>
      </c>
      <c r="D17" s="35" t="s">
        <v>189</v>
      </c>
      <c r="E17" s="35" t="s">
        <v>192</v>
      </c>
      <c r="F17" s="35">
        <v>2019</v>
      </c>
      <c r="G17" s="35" t="s">
        <v>194</v>
      </c>
      <c r="H17" s="35" t="s">
        <v>206</v>
      </c>
      <c r="I17" s="35" t="s">
        <v>207</v>
      </c>
      <c r="J17" s="35">
        <v>2020</v>
      </c>
      <c r="K17" s="35" t="s">
        <v>220</v>
      </c>
      <c r="L17" s="35" t="s">
        <v>221</v>
      </c>
      <c r="M17" s="35" t="s">
        <v>223</v>
      </c>
      <c r="N17" s="35">
        <v>2021</v>
      </c>
      <c r="O17" s="35" t="s">
        <v>233</v>
      </c>
      <c r="P17" s="35" t="s">
        <v>234</v>
      </c>
      <c r="Q17" s="35" t="s">
        <v>235</v>
      </c>
      <c r="R17" s="35">
        <v>2022</v>
      </c>
    </row>
    <row r="18" spans="1:18" ht="15" customHeight="1" outlineLevel="1" x14ac:dyDescent="0.2">
      <c r="B18" s="9" t="s">
        <v>66</v>
      </c>
      <c r="C18" s="104">
        <f>'Finansallar - 2019-2022'!C18/C$13</f>
        <v>855.40994611124665</v>
      </c>
      <c r="D18" s="104">
        <f>'Finansallar - 2019-2022'!D18/D$13</f>
        <v>1477.9940210331511</v>
      </c>
      <c r="E18" s="104">
        <f>'Finansallar - 2019-2022'!E18/E$13</f>
        <v>2005.1856650928282</v>
      </c>
      <c r="F18" s="104">
        <f>'Finansallar - 2019-2022'!F18/F$13</f>
        <v>2575.0024686133497</v>
      </c>
      <c r="G18" s="104">
        <f>'Finansallar - 2019-2022'!G18/G$13</f>
        <v>496.04241558740091</v>
      </c>
      <c r="H18" s="104">
        <f>'Finansallar - 2019-2022'!H18/H$13</f>
        <v>877.53116744681847</v>
      </c>
      <c r="I18" s="104">
        <f>'Finansallar - 2019-2022'!I18/I$13</f>
        <v>1247.1460486729654</v>
      </c>
      <c r="J18" s="104">
        <f>'Finansallar - 2019-2022'!J18/J$13</f>
        <v>1674.8692063854721</v>
      </c>
      <c r="K18" s="104">
        <f>'Finansallar - 2019-2022'!K18/K$13</f>
        <v>514.18760173629948</v>
      </c>
      <c r="L18" s="104">
        <f>'Finansallar - 2019-2022'!L18/L$13</f>
        <v>943.10065698346432</v>
      </c>
      <c r="M18" s="104">
        <f>'Finansallar - 2019-2022'!M18/M$13</f>
        <v>1362.088297819746</v>
      </c>
      <c r="N18" s="104">
        <f>'Finansallar - 2019-2022'!N18/N$13</f>
        <v>1831.9238456587282</v>
      </c>
      <c r="O18" s="104">
        <f>'Finansallar - 2019-2022'!O18/O$13</f>
        <v>380.32978318479206</v>
      </c>
      <c r="P18" s="104">
        <f>'Finansallar - 2019-2022'!P18/P$13</f>
        <v>876.07922714433073</v>
      </c>
      <c r="Q18" s="104">
        <f>'Finansallar - 2019-2022'!Q18/Q$13</f>
        <v>1337.6524693926442</v>
      </c>
      <c r="R18" s="104">
        <f>'Finansallar - 2019-2022'!R18/R$13</f>
        <v>1852.9467349799404</v>
      </c>
    </row>
    <row r="19" spans="1:18" ht="15" customHeight="1" outlineLevel="1" x14ac:dyDescent="0.2">
      <c r="B19" s="2" t="s">
        <v>67</v>
      </c>
      <c r="C19" s="109">
        <f>'Finansallar - 2019-2022'!C19/C$13</f>
        <v>198.34268772492516</v>
      </c>
      <c r="D19" s="109">
        <f>'Finansallar - 2019-2022'!D19/D$13</f>
        <v>290.5843728312899</v>
      </c>
      <c r="E19" s="109">
        <f>'Finansallar - 2019-2022'!E19/E$13</f>
        <v>381.19226809613326</v>
      </c>
      <c r="F19" s="109">
        <f>'Finansallar - 2019-2022'!F19/F$13</f>
        <v>423.46628579489436</v>
      </c>
      <c r="G19" s="109">
        <f>'Finansallar - 2019-2022'!G19/G$13</f>
        <v>40.048259220958357</v>
      </c>
      <c r="H19" s="109">
        <f>'Finansallar - 2019-2022'!H19/H$13</f>
        <v>92.614203395591005</v>
      </c>
      <c r="I19" s="109">
        <f>'Finansallar - 2019-2022'!I19/I$13</f>
        <v>106.83000208513332</v>
      </c>
      <c r="J19" s="109">
        <f>'Finansallar - 2019-2022'!J19/J$13</f>
        <v>130.50761058914259</v>
      </c>
      <c r="K19" s="109">
        <f>'Finansallar - 2019-2022'!K19/K$13</f>
        <v>88.219207813347793</v>
      </c>
      <c r="L19" s="109">
        <f>'Finansallar - 2019-2022'!L19/L$13</f>
        <v>139.36423824228285</v>
      </c>
      <c r="M19" s="109">
        <f>'Finansallar - 2019-2022'!M19/M$13</f>
        <v>190.10283284718446</v>
      </c>
      <c r="N19" s="109">
        <f>'Finansallar - 2019-2022'!N19/N$13</f>
        <v>144.54701491694615</v>
      </c>
      <c r="O19" s="109">
        <f>'Finansallar - 2019-2022'!O19/O$13</f>
        <v>21.597135942201763</v>
      </c>
      <c r="P19" s="109">
        <f>'Finansallar - 2019-2022'!P19/P$13</f>
        <v>117.54194953247087</v>
      </c>
      <c r="Q19" s="109">
        <f>'Finansallar - 2019-2022'!Q19/Q$13</f>
        <v>172.13116717731461</v>
      </c>
      <c r="R19" s="109">
        <f>'Finansallar - 2019-2022'!R19/R$13</f>
        <v>218.10146696312043</v>
      </c>
    </row>
    <row r="20" spans="1:18" ht="15" customHeight="1" outlineLevel="1" x14ac:dyDescent="0.2">
      <c r="B20" s="22" t="s">
        <v>68</v>
      </c>
      <c r="C20" s="38">
        <f>C19/C18</f>
        <v>0.23186857789835724</v>
      </c>
      <c r="D20" s="38">
        <f t="shared" ref="D20:J20" si="0">D19/D18</f>
        <v>0.19660727221898022</v>
      </c>
      <c r="E20" s="38">
        <f t="shared" si="0"/>
        <v>0.19010322821078332</v>
      </c>
      <c r="F20" s="38">
        <f t="shared" si="0"/>
        <v>0.16445276886391991</v>
      </c>
      <c r="G20" s="38">
        <f t="shared" si="0"/>
        <v>8.0735553981879191E-2</v>
      </c>
      <c r="H20" s="38">
        <f t="shared" si="0"/>
        <v>0.1055395031324671</v>
      </c>
      <c r="I20" s="38">
        <f t="shared" si="0"/>
        <v>8.5659576277218319E-2</v>
      </c>
      <c r="J20" s="38">
        <f t="shared" si="0"/>
        <v>7.7921075921379257E-2</v>
      </c>
      <c r="K20" s="38">
        <f t="shared" ref="K20:N20" si="1">K19/K18</f>
        <v>0.17157007970524912</v>
      </c>
      <c r="L20" s="38">
        <f t="shared" si="1"/>
        <v>0.1477723901582717</v>
      </c>
      <c r="M20" s="38">
        <f t="shared" si="1"/>
        <v>0.13956718749546293</v>
      </c>
      <c r="N20" s="38">
        <f t="shared" si="1"/>
        <v>7.8904488993629285E-2</v>
      </c>
      <c r="O20" s="38">
        <f t="shared" ref="O20:R20" si="2">O19/O18</f>
        <v>5.6785287129901926E-2</v>
      </c>
      <c r="P20" s="38">
        <f t="shared" si="2"/>
        <v>0.13416817325484454</v>
      </c>
      <c r="Q20" s="38">
        <f t="shared" si="2"/>
        <v>0.12868153060373752</v>
      </c>
      <c r="R20" s="38">
        <f t="shared" si="2"/>
        <v>0.11770520050350047</v>
      </c>
    </row>
    <row r="21" spans="1:18" ht="15" customHeight="1" outlineLevel="1" x14ac:dyDescent="0.2">
      <c r="B21" s="2" t="s">
        <v>69</v>
      </c>
      <c r="C21" s="109">
        <f>'Finansallar - 2019-2022'!C21/C$13</f>
        <v>158.75440526580783</v>
      </c>
      <c r="D21" s="109">
        <f>'Finansallar - 2019-2022'!D21/D$13</f>
        <v>228.39101731409147</v>
      </c>
      <c r="E21" s="109">
        <f>'Finansallar - 2019-2022'!E21/E$13</f>
        <v>285.1741275870632</v>
      </c>
      <c r="F21" s="109">
        <f>'Finansallar - 2019-2022'!F21/F$13</f>
        <v>282.72517280293471</v>
      </c>
      <c r="G21" s="109">
        <f>'Finansallar - 2019-2022'!G21/G$13</f>
        <v>-5.2989937788283275</v>
      </c>
      <c r="H21" s="109">
        <f>'Finansallar - 2019-2022'!H21/H$13</f>
        <v>10.53405632540823</v>
      </c>
      <c r="I21" s="109">
        <f>'Finansallar - 2019-2022'!I21/I$13</f>
        <v>-11.262250156385008</v>
      </c>
      <c r="J21" s="109">
        <f>'Finansallar - 2019-2022'!J21/J$13</f>
        <v>0.14450124225376265</v>
      </c>
      <c r="K21" s="109">
        <f>'Finansallar - 2019-2022'!K21/K$13</f>
        <v>41.587221920781339</v>
      </c>
      <c r="L21" s="109">
        <f>'Finansallar - 2019-2022'!L21/L$13</f>
        <v>60.220095815383637</v>
      </c>
      <c r="M21" s="109">
        <f>'Finansallar - 2019-2022'!M21/M$13</f>
        <v>91.302590596727157</v>
      </c>
      <c r="N21" s="109">
        <f>'Finansallar - 2019-2022'!N21/N$13</f>
        <v>-54.001490565398555</v>
      </c>
      <c r="O21" s="109">
        <f>'Finansallar - 2019-2022'!O21/O$13</f>
        <v>-12.77234762250167</v>
      </c>
      <c r="P21" s="109">
        <f>'Finansallar - 2019-2022'!P21/P$13</f>
        <v>39.585999069660836</v>
      </c>
      <c r="Q21" s="109">
        <f>'Finansallar - 2019-2022'!Q21/Q$13</f>
        <v>63.534818625411361</v>
      </c>
      <c r="R21" s="109">
        <f>'Finansallar - 2019-2022'!R21/R$13</f>
        <v>142.00873652665663</v>
      </c>
    </row>
    <row r="22" spans="1:18" ht="15" customHeight="1" outlineLevel="1" x14ac:dyDescent="0.2">
      <c r="B22" s="22" t="s">
        <v>68</v>
      </c>
      <c r="C22" s="38">
        <f>C21/C18</f>
        <v>0.18558868293210343</v>
      </c>
      <c r="D22" s="38">
        <f t="shared" ref="D22:J22" si="3">D21/D18</f>
        <v>0.15452770042631228</v>
      </c>
      <c r="E22" s="38">
        <f t="shared" si="3"/>
        <v>0.14221831551636457</v>
      </c>
      <c r="F22" s="38">
        <f t="shared" si="3"/>
        <v>0.10979607835295919</v>
      </c>
      <c r="G22" s="38">
        <f t="shared" si="3"/>
        <v>-1.0682541678524391E-2</v>
      </c>
      <c r="H22" s="38">
        <f t="shared" si="3"/>
        <v>1.2004196222519505E-2</v>
      </c>
      <c r="I22" s="38">
        <f t="shared" si="3"/>
        <v>-9.0304180239104189E-3</v>
      </c>
      <c r="J22" s="38">
        <f t="shared" si="3"/>
        <v>8.6276135296325709E-5</v>
      </c>
      <c r="K22" s="38">
        <f t="shared" ref="K22:L22" si="4">K21/K18</f>
        <v>8.0879472356685286E-2</v>
      </c>
      <c r="L22" s="38">
        <f t="shared" si="4"/>
        <v>6.3853307035114812E-2</v>
      </c>
      <c r="M22" s="38">
        <f t="shared" ref="M22:P22" si="5">M21/M18</f>
        <v>6.7031330305731635E-2</v>
      </c>
      <c r="N22" s="38">
        <f t="shared" si="5"/>
        <v>-2.9478021530955374E-2</v>
      </c>
      <c r="O22" s="38">
        <f t="shared" si="5"/>
        <v>-3.3582296699325088E-2</v>
      </c>
      <c r="P22" s="38">
        <f t="shared" si="5"/>
        <v>4.5185409998471739E-2</v>
      </c>
      <c r="Q22" s="38">
        <f t="shared" ref="Q22:R22" si="6">Q21/Q18</f>
        <v>4.7497253643361562E-2</v>
      </c>
      <c r="R22" s="38">
        <f t="shared" si="6"/>
        <v>7.6639405680592312E-2</v>
      </c>
    </row>
    <row r="23" spans="1:18" ht="15" customHeight="1" outlineLevel="1" x14ac:dyDescent="0.2">
      <c r="B23" s="2" t="s">
        <v>70</v>
      </c>
      <c r="C23" s="109">
        <f>'Finansallar - 2019-2022'!C23/C$13</f>
        <v>175.76982602696319</v>
      </c>
      <c r="D23" s="109">
        <f>'Finansallar - 2019-2022'!D23/D$13</f>
        <v>248.65348684093453</v>
      </c>
      <c r="E23" s="109">
        <f>'Finansallar - 2019-2022'!E23/E$13</f>
        <v>319.3565621782804</v>
      </c>
      <c r="F23" s="109">
        <f>'Finansallar - 2019-2022'!F23/F$13</f>
        <v>338.737480603753</v>
      </c>
      <c r="G23" s="109">
        <f>'Finansallar - 2019-2022'!G23/G$13</f>
        <v>20.295792912132139</v>
      </c>
      <c r="H23" s="109">
        <f>'Finansallar - 2019-2022'!H23/H$13</f>
        <v>53.895969473667961</v>
      </c>
      <c r="I23" s="109">
        <f>'Finansallar - 2019-2022'!I23/I$13</f>
        <v>56.125525006702382</v>
      </c>
      <c r="J23" s="109">
        <f>'Finansallar - 2019-2022'!J23/J$13</f>
        <v>65.504183682211576</v>
      </c>
      <c r="K23" s="109">
        <f>'Finansallar - 2019-2022'!K23/K$13</f>
        <v>70.01193705914271</v>
      </c>
      <c r="L23" s="109">
        <f>'Finansallar - 2019-2022'!L23/L$13</f>
        <v>105.03500946716954</v>
      </c>
      <c r="M23" s="109">
        <f>'Finansallar - 2019-2022'!M23/M$13</f>
        <v>150.37042072477382</v>
      </c>
      <c r="N23" s="109">
        <f>'Finansallar - 2019-2022'!N23/N$13</f>
        <v>82.206940162832979</v>
      </c>
      <c r="O23" s="109">
        <f>'Finansallar - 2019-2022'!O23/O$13</f>
        <v>9.1207457466443547</v>
      </c>
      <c r="P23" s="109">
        <f>'Finansallar - 2019-2022'!P23/P$13</f>
        <v>85.213674637471101</v>
      </c>
      <c r="Q23" s="109">
        <f>'Finansallar - 2019-2022'!Q23/Q$13</f>
        <v>124.19462621830516</v>
      </c>
      <c r="R23" s="109">
        <f>'Finansallar - 2019-2022'!R23/R$13</f>
        <v>206.01424670114548</v>
      </c>
    </row>
    <row r="24" spans="1:18" ht="15" customHeight="1" outlineLevel="1" x14ac:dyDescent="0.2">
      <c r="B24" s="22" t="s">
        <v>68</v>
      </c>
      <c r="C24" s="38">
        <f>C23/C18</f>
        <v>0.20548022246646194</v>
      </c>
      <c r="D24" s="38">
        <f t="shared" ref="D24:J24" si="7">D23/D18</f>
        <v>0.16823713986821148</v>
      </c>
      <c r="E24" s="38">
        <f t="shared" si="7"/>
        <v>0.15926533275086827</v>
      </c>
      <c r="F24" s="38">
        <f t="shared" si="7"/>
        <v>0.13154841004333664</v>
      </c>
      <c r="G24" s="38">
        <f t="shared" si="7"/>
        <v>4.0915438426970756E-2</v>
      </c>
      <c r="H24" s="38">
        <f t="shared" si="7"/>
        <v>6.141772676915689E-2</v>
      </c>
      <c r="I24" s="38">
        <f t="shared" si="7"/>
        <v>4.5003169489590371E-2</v>
      </c>
      <c r="J24" s="38">
        <f t="shared" si="7"/>
        <v>3.9110029268241107E-2</v>
      </c>
      <c r="K24" s="38">
        <f t="shared" ref="K24:L24" si="8">K23/K18</f>
        <v>0.13616029795881435</v>
      </c>
      <c r="L24" s="38">
        <f t="shared" si="8"/>
        <v>0.11137200328449263</v>
      </c>
      <c r="M24" s="38">
        <f t="shared" ref="M24:P24" si="9">M23/M18</f>
        <v>0.11039696983335608</v>
      </c>
      <c r="N24" s="38">
        <f t="shared" si="9"/>
        <v>4.4874649324340654E-2</v>
      </c>
      <c r="O24" s="38">
        <f t="shared" si="9"/>
        <v>2.3981150438099737E-2</v>
      </c>
      <c r="P24" s="38">
        <f t="shared" si="9"/>
        <v>9.7267087264737151E-2</v>
      </c>
      <c r="Q24" s="38">
        <f t="shared" ref="Q24:R24" si="10">Q23/Q18</f>
        <v>9.2845211338558845E-2</v>
      </c>
      <c r="R24" s="38">
        <f t="shared" si="10"/>
        <v>0.111181958343436</v>
      </c>
    </row>
    <row r="25" spans="1:18" ht="15" customHeight="1" outlineLevel="1" x14ac:dyDescent="0.2">
      <c r="B25" s="1" t="s">
        <v>71</v>
      </c>
      <c r="C25" s="110">
        <f>'Finansallar - 2019-2022'!C25/C$13</f>
        <v>20.446773201066609</v>
      </c>
      <c r="D25" s="110">
        <f>'Finansallar - 2019-2022'!D25/D$13</f>
        <v>29.909247824616973</v>
      </c>
      <c r="E25" s="110">
        <f>'Finansallar - 2019-2022'!E25/E$13</f>
        <v>29.760552380276128</v>
      </c>
      <c r="F25" s="110">
        <f>'Finansallar - 2019-2022'!F25/F$13</f>
        <v>40.716955847087128</v>
      </c>
      <c r="G25" s="110">
        <f>'Finansallar - 2019-2022'!G25/G$13</f>
        <v>15.078544344314794</v>
      </c>
      <c r="H25" s="110">
        <f>'Finansallar - 2019-2022'!H25/H$13</f>
        <v>24.47637144490276</v>
      </c>
      <c r="I25" s="110">
        <f>'Finansallar - 2019-2022'!I25/I$13</f>
        <v>55.659497780822896</v>
      </c>
      <c r="J25" s="110">
        <f>'Finansallar - 2019-2022'!J25/J$13</f>
        <v>32.083987777365301</v>
      </c>
      <c r="K25" s="110">
        <f>'Finansallar - 2019-2022'!K25/K$13</f>
        <v>29.721513836136729</v>
      </c>
      <c r="L25" s="110">
        <f>'Finansallar - 2019-2022'!L25/L$13</f>
        <v>35.45080248560852</v>
      </c>
      <c r="M25" s="110">
        <f>'Finansallar - 2019-2022'!M25/M$13</f>
        <v>41.527784644287337</v>
      </c>
      <c r="N25" s="110">
        <f>'Finansallar - 2019-2022'!N25/N$13</f>
        <v>137.57207222466886</v>
      </c>
      <c r="O25" s="110">
        <f>'Finansallar - 2019-2022'!O25/O$13</f>
        <v>14.562383746400174</v>
      </c>
      <c r="P25" s="110">
        <f>'Finansallar - 2019-2022'!P25/P$13</f>
        <v>25.74450729102762</v>
      </c>
      <c r="Q25" s="110">
        <f>'Finansallar - 2019-2022'!Q25/Q$13</f>
        <v>27.79337040259233</v>
      </c>
      <c r="R25" s="110">
        <f>'Finansallar - 2019-2022'!R25/R$13</f>
        <v>13.563367006621872</v>
      </c>
    </row>
    <row r="26" spans="1:18" ht="15" customHeight="1" outlineLevel="1" x14ac:dyDescent="0.2">
      <c r="B26" s="66" t="s">
        <v>185</v>
      </c>
      <c r="C26" s="109">
        <f>'Finansallar - 2019-2022'!C26/C$13</f>
        <v>181.0690111693302</v>
      </c>
      <c r="D26" s="109">
        <f>'Finansallar - 2019-2022'!D26/D$13</f>
        <v>259.91156111536202</v>
      </c>
      <c r="E26" s="109">
        <f>'Finansallar - 2019-2022'!E26/E$13</f>
        <v>318.41563420781642</v>
      </c>
      <c r="F26" s="109">
        <f>'Finansallar - 2019-2022'!F26/F$13</f>
        <v>313.33879954859708</v>
      </c>
      <c r="G26" s="109">
        <f>'Finansallar - 2019-2022'!G26/G$13</f>
        <v>12.756849033994866</v>
      </c>
      <c r="H26" s="109">
        <f>'Finansallar - 2019-2022'!H26/H$13</f>
        <v>40.086975328667883</v>
      </c>
      <c r="I26" s="109">
        <f>'Finansallar - 2019-2022'!I26/I$13</f>
        <v>49.468886836853379</v>
      </c>
      <c r="J26" s="109">
        <f>'Finansallar - 2019-2022'!J26/J$13</f>
        <v>32.766085044407042</v>
      </c>
      <c r="K26" s="109">
        <f>'Finansallar - 2019-2022'!K26/K$13</f>
        <v>71.398399348887693</v>
      </c>
      <c r="L26" s="109">
        <f>'Finansallar - 2019-2022'!L26/L$13</f>
        <v>125.95936106133922</v>
      </c>
      <c r="M26" s="109">
        <f>'Finansallar - 2019-2022'!M26/M$13</f>
        <v>180.05018045187126</v>
      </c>
      <c r="N26" s="109">
        <f>'Finansallar - 2019-2022'!N26/N$13</f>
        <v>127.49347877638132</v>
      </c>
      <c r="O26" s="109">
        <f>'Finansallar - 2019-2022'!O26/O$13</f>
        <v>11.934244450349388</v>
      </c>
      <c r="P26" s="109">
        <f>'Finansallar - 2019-2022'!P26/P$13</f>
        <v>90.123371063755201</v>
      </c>
      <c r="Q26" s="109">
        <f>'Finansallar - 2019-2022'!Q26/Q$13</f>
        <v>129.25735396098904</v>
      </c>
      <c r="R26" s="109">
        <f>'Finansallar - 2019-2022'!R26/R$13</f>
        <v>195.24632655034071</v>
      </c>
    </row>
    <row r="27" spans="1:18" ht="15" customHeight="1" outlineLevel="1" x14ac:dyDescent="0.2">
      <c r="B27" s="1" t="s">
        <v>72</v>
      </c>
      <c r="C27" s="110">
        <f>'Finansallar - 2019-2022'!C27/C$13</f>
        <v>-35.456562680639244</v>
      </c>
      <c r="D27" s="110">
        <f>'Finansallar - 2019-2022'!D27/D$13</f>
        <v>-50.04964677829777</v>
      </c>
      <c r="E27" s="110">
        <f>'Finansallar - 2019-2022'!E27/E$13</f>
        <v>-63.463559231779477</v>
      </c>
      <c r="F27" s="110">
        <f>'Finansallar - 2019-2022'!F27/F$13</f>
        <v>-63.857384680491037</v>
      </c>
      <c r="G27" s="110">
        <f>'Finansallar - 2019-2022'!G27/G$13</f>
        <v>-5.1471577945207816</v>
      </c>
      <c r="H27" s="110">
        <f>'Finansallar - 2019-2022'!H27/H$13</f>
        <v>-18.239328915048436</v>
      </c>
      <c r="I27" s="110">
        <f>'Finansallar - 2019-2022'!I27/I$13</f>
        <v>-30.410771201334573</v>
      </c>
      <c r="J27" s="110">
        <f>'Finansallar - 2019-2022'!J27/J$13</f>
        <v>-42.389696433161092</v>
      </c>
      <c r="K27" s="110">
        <f>'Finansallar - 2019-2022'!K27/K$13</f>
        <v>-15.866928920238742</v>
      </c>
      <c r="L27" s="110">
        <f>'Finansallar - 2019-2022'!L27/L$13</f>
        <v>-33.830836287852691</v>
      </c>
      <c r="M27" s="110">
        <f>'Finansallar - 2019-2022'!M27/M$13</f>
        <v>-31.83628318584071</v>
      </c>
      <c r="N27" s="110">
        <f>'Finansallar - 2019-2022'!N27/N$13</f>
        <v>-33.837415449936188</v>
      </c>
      <c r="O27" s="110">
        <f>'Finansallar - 2019-2022'!O27/O$13</f>
        <v>-4.8207091200275771</v>
      </c>
      <c r="P27" s="110">
        <f>'Finansallar - 2019-2022'!P27/P$13</f>
        <v>-18.247119656448668</v>
      </c>
      <c r="Q27" s="110">
        <f>'Finansallar - 2019-2022'!Q27/Q$13</f>
        <v>-16.109871266280845</v>
      </c>
      <c r="R27" s="110">
        <f>'Finansallar - 2019-2022'!R27/R$13</f>
        <v>13.100621103001592</v>
      </c>
    </row>
    <row r="28" spans="1:18" ht="15" customHeight="1" outlineLevel="1" x14ac:dyDescent="0.2">
      <c r="B28" s="46" t="s">
        <v>73</v>
      </c>
      <c r="C28" s="111">
        <f>'Finansallar - 2019-2022'!C28/C$13</f>
        <v>145.61244848869097</v>
      </c>
      <c r="D28" s="111">
        <f>'Finansallar - 2019-2022'!D28/D$13</f>
        <v>209.86191433706423</v>
      </c>
      <c r="E28" s="111">
        <f>'Finansallar - 2019-2022'!E28/E$13</f>
        <v>254.95207497603693</v>
      </c>
      <c r="F28" s="111">
        <f>'Finansallar - 2019-2022'!F28/F$13</f>
        <v>249.48141486810601</v>
      </c>
      <c r="G28" s="111">
        <f>'Finansallar - 2019-2022'!G28/G$13</f>
        <v>7.6096912394740865</v>
      </c>
      <c r="H28" s="111">
        <f>'Finansallar - 2019-2022'!H28/H$13</f>
        <v>21.847646413619444</v>
      </c>
      <c r="I28" s="111">
        <f>'Finansallar - 2019-2022'!I28/I$13</f>
        <v>19.058115635518806</v>
      </c>
      <c r="J28" s="111">
        <f>'Finansallar - 2019-2022'!J28/J$13</f>
        <v>-9.6236113887540444</v>
      </c>
      <c r="K28" s="111">
        <f>'Finansallar - 2019-2022'!K28/K$13</f>
        <v>55.531470428648937</v>
      </c>
      <c r="L28" s="111">
        <f>'Finansallar - 2019-2022'!L28/L$13</f>
        <v>92.128524773486532</v>
      </c>
      <c r="M28" s="111">
        <f>'Finansallar - 2019-2022'!M28/M$13</f>
        <v>148.21389726603056</v>
      </c>
      <c r="N28" s="111">
        <f>'Finansallar - 2019-2022'!N28/N$13</f>
        <v>93.656063326445107</v>
      </c>
      <c r="O28" s="111">
        <f>'Finansallar - 2019-2022'!O28/O$13</f>
        <v>7.1135353303218114</v>
      </c>
      <c r="P28" s="111">
        <f>'Finansallar - 2019-2022'!P28/P$13</f>
        <v>71.87625140730654</v>
      </c>
      <c r="Q28" s="111">
        <f>'Finansallar - 2019-2022'!Q28/Q$13</f>
        <v>113.14748269470817</v>
      </c>
      <c r="R28" s="111">
        <f>'Finansallar - 2019-2022'!R28/R$13</f>
        <v>208.34694765334228</v>
      </c>
    </row>
    <row r="29" spans="1:18" ht="15" customHeight="1" outlineLevel="1" x14ac:dyDescent="0.2">
      <c r="A29" s="55" t="s">
        <v>164</v>
      </c>
      <c r="B29" s="48" t="s">
        <v>68</v>
      </c>
      <c r="C29" s="49">
        <f>C28/C18</f>
        <v>0.17022533950026572</v>
      </c>
      <c r="D29" s="49">
        <f t="shared" ref="D29:J29" si="11">D28/D18</f>
        <v>0.14199104417916794</v>
      </c>
      <c r="E29" s="49">
        <f t="shared" si="11"/>
        <v>0.12714636824627118</v>
      </c>
      <c r="F29" s="49">
        <f t="shared" si="11"/>
        <v>9.6885893473513007E-2</v>
      </c>
      <c r="G29" s="49">
        <f t="shared" si="11"/>
        <v>1.5340807560706039E-2</v>
      </c>
      <c r="H29" s="49">
        <f t="shared" si="11"/>
        <v>2.4896718457516769E-2</v>
      </c>
      <c r="I29" s="49">
        <f t="shared" si="11"/>
        <v>1.5281382365600027E-2</v>
      </c>
      <c r="J29" s="49">
        <f t="shared" si="11"/>
        <v>-5.7458883070175479E-3</v>
      </c>
      <c r="K29" s="49">
        <f t="shared" ref="K29:L29" si="12">K28/K18</f>
        <v>0.10799846250888054</v>
      </c>
      <c r="L29" s="49">
        <f t="shared" si="12"/>
        <v>9.7686841898893775E-2</v>
      </c>
      <c r="M29" s="49">
        <f t="shared" ref="M29:P29" si="13">M28/M18</f>
        <v>0.10881372191749397</v>
      </c>
      <c r="N29" s="49">
        <f t="shared" si="13"/>
        <v>5.1124430498784193E-2</v>
      </c>
      <c r="O29" s="49">
        <f t="shared" si="13"/>
        <v>1.8703597890111948E-2</v>
      </c>
      <c r="P29" s="49">
        <f t="shared" si="13"/>
        <v>8.2043095167995808E-2</v>
      </c>
      <c r="Q29" s="49">
        <f t="shared" ref="Q29:R29" si="14">Q28/Q18</f>
        <v>8.4586606225219574E-2</v>
      </c>
      <c r="R29" s="49">
        <f t="shared" si="14"/>
        <v>0.11244087254110831</v>
      </c>
    </row>
    <row r="32" spans="1:18" ht="20.100000000000001" customHeight="1" outlineLevel="1" x14ac:dyDescent="0.2">
      <c r="B32" s="32" t="s">
        <v>150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outlineLevel="1" x14ac:dyDescent="0.2">
      <c r="B33" s="31" t="s">
        <v>244</v>
      </c>
      <c r="C33" s="35" t="s">
        <v>186</v>
      </c>
      <c r="D33" s="35" t="s">
        <v>188</v>
      </c>
      <c r="E33" s="35" t="s">
        <v>191</v>
      </c>
      <c r="F33" s="35" t="s">
        <v>193</v>
      </c>
      <c r="G33" s="35" t="s">
        <v>195</v>
      </c>
      <c r="H33" s="35" t="s">
        <v>205</v>
      </c>
      <c r="I33" s="35" t="s">
        <v>208</v>
      </c>
      <c r="J33" s="35" t="s">
        <v>212</v>
      </c>
      <c r="K33" s="35" t="s">
        <v>219</v>
      </c>
      <c r="L33" s="35" t="s">
        <v>222</v>
      </c>
      <c r="M33" s="35" t="s">
        <v>224</v>
      </c>
      <c r="N33" s="35" t="s">
        <v>226</v>
      </c>
      <c r="O33" s="35" t="s">
        <v>225</v>
      </c>
      <c r="P33" s="35" t="s">
        <v>227</v>
      </c>
      <c r="Q33" s="35" t="s">
        <v>228</v>
      </c>
      <c r="R33" s="35" t="s">
        <v>236</v>
      </c>
    </row>
    <row r="34" spans="1:18" ht="15" customHeight="1" outlineLevel="1" x14ac:dyDescent="0.2">
      <c r="B34" s="9" t="s">
        <v>66</v>
      </c>
      <c r="C34" s="124">
        <f>+C18</f>
        <v>855.40994611124665</v>
      </c>
      <c r="D34" s="103">
        <f t="shared" ref="D34:N35" si="15">+D18-C18</f>
        <v>622.5840749219044</v>
      </c>
      <c r="E34" s="103">
        <f t="shared" si="15"/>
        <v>527.19164405967717</v>
      </c>
      <c r="F34" s="103">
        <f t="shared" si="15"/>
        <v>569.81680352052149</v>
      </c>
      <c r="G34" s="124">
        <f>+G18</f>
        <v>496.04241558740091</v>
      </c>
      <c r="H34" s="103">
        <f t="shared" si="15"/>
        <v>381.48875185941756</v>
      </c>
      <c r="I34" s="103">
        <f t="shared" si="15"/>
        <v>369.61488122614696</v>
      </c>
      <c r="J34" s="103">
        <f t="shared" si="15"/>
        <v>427.72315771250669</v>
      </c>
      <c r="K34" s="124">
        <f>+K18</f>
        <v>514.18760173629948</v>
      </c>
      <c r="L34" s="103">
        <f t="shared" si="15"/>
        <v>428.91305524716483</v>
      </c>
      <c r="M34" s="103">
        <f t="shared" si="15"/>
        <v>418.98764083628168</v>
      </c>
      <c r="N34" s="103">
        <f t="shared" si="15"/>
        <v>469.83554783898217</v>
      </c>
      <c r="O34" s="124">
        <f>+O18</f>
        <v>380.32978318479206</v>
      </c>
      <c r="P34" s="103">
        <f t="shared" ref="P34:P35" si="16">+P18-O18</f>
        <v>495.74944395953867</v>
      </c>
      <c r="Q34" s="103">
        <f t="shared" ref="Q34:R35" si="17">+Q18-P18</f>
        <v>461.57324224831348</v>
      </c>
      <c r="R34" s="103">
        <f t="shared" si="17"/>
        <v>515.2942655872962</v>
      </c>
    </row>
    <row r="35" spans="1:18" ht="15" customHeight="1" outlineLevel="1" x14ac:dyDescent="0.2">
      <c r="B35" s="2" t="s">
        <v>67</v>
      </c>
      <c r="C35" s="125">
        <f>+C19</f>
        <v>198.34268772492516</v>
      </c>
      <c r="D35" s="112">
        <f t="shared" si="15"/>
        <v>92.241685106364741</v>
      </c>
      <c r="E35" s="112">
        <f t="shared" si="15"/>
        <v>90.607895264843364</v>
      </c>
      <c r="F35" s="112">
        <f t="shared" si="15"/>
        <v>42.274017698761099</v>
      </c>
      <c r="G35" s="125">
        <f>+G19</f>
        <v>40.048259220958357</v>
      </c>
      <c r="H35" s="112">
        <f t="shared" si="15"/>
        <v>52.565944174632648</v>
      </c>
      <c r="I35" s="112">
        <f t="shared" si="15"/>
        <v>14.215798689542311</v>
      </c>
      <c r="J35" s="112">
        <f t="shared" si="15"/>
        <v>23.677608504009271</v>
      </c>
      <c r="K35" s="125">
        <f>+K19</f>
        <v>88.219207813347793</v>
      </c>
      <c r="L35" s="112">
        <f t="shared" si="15"/>
        <v>51.145030428935058</v>
      </c>
      <c r="M35" s="112">
        <f t="shared" si="15"/>
        <v>50.738594604901607</v>
      </c>
      <c r="N35" s="112">
        <f t="shared" si="15"/>
        <v>-45.555817930238305</v>
      </c>
      <c r="O35" s="125">
        <f>+O19</f>
        <v>21.597135942201763</v>
      </c>
      <c r="P35" s="112">
        <f t="shared" si="16"/>
        <v>95.944813590269106</v>
      </c>
      <c r="Q35" s="112">
        <f t="shared" si="17"/>
        <v>54.589217644843743</v>
      </c>
      <c r="R35" s="112">
        <f t="shared" si="17"/>
        <v>45.970299785805821</v>
      </c>
    </row>
    <row r="36" spans="1:18" ht="15" customHeight="1" outlineLevel="1" x14ac:dyDescent="0.2">
      <c r="B36" s="22" t="s">
        <v>68</v>
      </c>
      <c r="C36" s="126">
        <f t="shared" ref="C36:I36" si="18">+C35/C34</f>
        <v>0.23186857789835724</v>
      </c>
      <c r="D36" s="38">
        <f t="shared" si="18"/>
        <v>0.14815940339934866</v>
      </c>
      <c r="E36" s="38">
        <f t="shared" si="18"/>
        <v>0.17186898974177731</v>
      </c>
      <c r="F36" s="71">
        <f t="shared" si="18"/>
        <v>7.4188787409528612E-2</v>
      </c>
      <c r="G36" s="126">
        <f t="shared" ref="G36" si="19">+G35/G34</f>
        <v>8.0735553981879191E-2</v>
      </c>
      <c r="H36" s="38">
        <f t="shared" si="18"/>
        <v>0.13779159652393558</v>
      </c>
      <c r="I36" s="38">
        <f t="shared" si="18"/>
        <v>3.8461110230149115E-2</v>
      </c>
      <c r="J36" s="38">
        <f t="shared" ref="J36:L36" si="20">+J35/J34</f>
        <v>5.5357321849578534E-2</v>
      </c>
      <c r="K36" s="126">
        <f t="shared" si="20"/>
        <v>0.17157007970524912</v>
      </c>
      <c r="L36" s="38">
        <f t="shared" si="20"/>
        <v>0.11924335201096245</v>
      </c>
      <c r="M36" s="38">
        <f t="shared" ref="M36:P36" si="21">+M35/M34</f>
        <v>0.12109806987058021</v>
      </c>
      <c r="N36" s="38">
        <f t="shared" si="21"/>
        <v>-9.6961198742353968E-2</v>
      </c>
      <c r="O36" s="126">
        <f t="shared" si="21"/>
        <v>5.6785287129901926E-2</v>
      </c>
      <c r="P36" s="38">
        <f t="shared" si="21"/>
        <v>0.19353488896318316</v>
      </c>
      <c r="Q36" s="38">
        <f t="shared" ref="Q36:R36" si="22">+Q35/Q34</f>
        <v>0.11826772578700798</v>
      </c>
      <c r="R36" s="38">
        <f t="shared" si="22"/>
        <v>8.9211743378149383E-2</v>
      </c>
    </row>
    <row r="37" spans="1:18" ht="15" customHeight="1" outlineLevel="1" x14ac:dyDescent="0.2">
      <c r="B37" s="2" t="s">
        <v>69</v>
      </c>
      <c r="C37" s="127">
        <f>+C21</f>
        <v>158.75440526580783</v>
      </c>
      <c r="D37" s="106">
        <f>+D21-C21</f>
        <v>69.636612048283638</v>
      </c>
      <c r="E37" s="106">
        <f>+E21-D21</f>
        <v>56.783110272971726</v>
      </c>
      <c r="F37" s="106">
        <f>+F21-E21</f>
        <v>-2.4489547841284889</v>
      </c>
      <c r="G37" s="127">
        <f>+G21</f>
        <v>-5.2989937788283275</v>
      </c>
      <c r="H37" s="106">
        <f>+H21-G21</f>
        <v>15.833050104236557</v>
      </c>
      <c r="I37" s="106">
        <f>+I21-H21</f>
        <v>-21.796306481793238</v>
      </c>
      <c r="J37" s="106">
        <f>+J21-I21</f>
        <v>11.40675139863877</v>
      </c>
      <c r="K37" s="127">
        <f>+K21</f>
        <v>41.587221920781339</v>
      </c>
      <c r="L37" s="106">
        <f>+L21-K21</f>
        <v>18.632873894602298</v>
      </c>
      <c r="M37" s="106">
        <f>+M21-L21</f>
        <v>31.08249478134352</v>
      </c>
      <c r="N37" s="106">
        <f>+N21-M21</f>
        <v>-145.30408116212573</v>
      </c>
      <c r="O37" s="127">
        <f>+O21</f>
        <v>-12.77234762250167</v>
      </c>
      <c r="P37" s="106">
        <f>+P21-O21</f>
        <v>52.358346692162506</v>
      </c>
      <c r="Q37" s="106">
        <f>+Q21-P21</f>
        <v>23.948819555750525</v>
      </c>
      <c r="R37" s="106">
        <f>+R21-Q21</f>
        <v>78.473917901245272</v>
      </c>
    </row>
    <row r="38" spans="1:18" ht="15" customHeight="1" outlineLevel="1" x14ac:dyDescent="0.2">
      <c r="B38" s="22" t="s">
        <v>68</v>
      </c>
      <c r="C38" s="126">
        <f t="shared" ref="C38:I38" si="23">+C37/C34</f>
        <v>0.18558868293210343</v>
      </c>
      <c r="D38" s="38">
        <f t="shared" si="23"/>
        <v>0.11185093685060721</v>
      </c>
      <c r="E38" s="38">
        <f t="shared" si="23"/>
        <v>0.10770866896847853</v>
      </c>
      <c r="F38" s="71">
        <f t="shared" si="23"/>
        <v>-4.2977932012499727E-3</v>
      </c>
      <c r="G38" s="126">
        <f t="shared" ref="G38" si="24">+G37/G34</f>
        <v>-1.0682541678524391E-2</v>
      </c>
      <c r="H38" s="38">
        <f t="shared" si="23"/>
        <v>4.1503320942136705E-2</v>
      </c>
      <c r="I38" s="38">
        <f t="shared" si="23"/>
        <v>-5.8970316372238485E-2</v>
      </c>
      <c r="J38" s="38">
        <f t="shared" ref="J38:L38" si="25">+J37/J34</f>
        <v>2.6668538265832677E-2</v>
      </c>
      <c r="K38" s="126">
        <f t="shared" si="25"/>
        <v>8.0879472356685286E-2</v>
      </c>
      <c r="L38" s="38">
        <f t="shared" si="25"/>
        <v>4.3442076818727152E-2</v>
      </c>
      <c r="M38" s="38">
        <f t="shared" ref="M38:P38" si="26">+M37/M34</f>
        <v>7.4184753324236893E-2</v>
      </c>
      <c r="N38" s="38">
        <f t="shared" si="26"/>
        <v>-0.30926583105611039</v>
      </c>
      <c r="O38" s="126">
        <f t="shared" si="26"/>
        <v>-3.3582296699325088E-2</v>
      </c>
      <c r="P38" s="38">
        <f t="shared" si="26"/>
        <v>0.10561453437845068</v>
      </c>
      <c r="Q38" s="38">
        <f t="shared" ref="Q38:R38" si="27">+Q37/Q34</f>
        <v>5.1885199062008738E-2</v>
      </c>
      <c r="R38" s="38">
        <f t="shared" si="27"/>
        <v>0.15228952298121581</v>
      </c>
    </row>
    <row r="39" spans="1:18" ht="15" customHeight="1" outlineLevel="1" x14ac:dyDescent="0.2">
      <c r="B39" s="2" t="s">
        <v>70</v>
      </c>
      <c r="C39" s="125">
        <f>+C23</f>
        <v>175.76982602696319</v>
      </c>
      <c r="D39" s="112">
        <f>+D23-C23</f>
        <v>72.883660813971346</v>
      </c>
      <c r="E39" s="112">
        <f>+E23-D23</f>
        <v>70.703075337345865</v>
      </c>
      <c r="F39" s="112">
        <f>+F23-E23</f>
        <v>19.380918425472601</v>
      </c>
      <c r="G39" s="125">
        <f>+G23</f>
        <v>20.295792912132139</v>
      </c>
      <c r="H39" s="112">
        <f>+H23-G23</f>
        <v>33.600176561535818</v>
      </c>
      <c r="I39" s="112">
        <f>+I23-H23</f>
        <v>2.2295555330344214</v>
      </c>
      <c r="J39" s="112">
        <f>+J23-I23</f>
        <v>9.3786586755091932</v>
      </c>
      <c r="K39" s="125">
        <f>+K23</f>
        <v>70.01193705914271</v>
      </c>
      <c r="L39" s="112">
        <f>+L23-K23</f>
        <v>35.023072408026835</v>
      </c>
      <c r="M39" s="112">
        <f>+M23-L23</f>
        <v>45.335411257604278</v>
      </c>
      <c r="N39" s="112">
        <f>+N23-M23</f>
        <v>-68.163480561940844</v>
      </c>
      <c r="O39" s="125">
        <f>+O23</f>
        <v>9.1207457466443547</v>
      </c>
      <c r="P39" s="112">
        <f>+P23-O23</f>
        <v>76.092928890826741</v>
      </c>
      <c r="Q39" s="112">
        <f>+Q23-P23</f>
        <v>38.980951580834059</v>
      </c>
      <c r="R39" s="112">
        <f>+R23-Q23</f>
        <v>81.819620482840321</v>
      </c>
    </row>
    <row r="40" spans="1:18" ht="15" customHeight="1" outlineLevel="1" x14ac:dyDescent="0.2">
      <c r="B40" s="22" t="s">
        <v>68</v>
      </c>
      <c r="C40" s="126">
        <f t="shared" ref="C40:I40" si="28">+C39/C34</f>
        <v>0.20548022246646194</v>
      </c>
      <c r="D40" s="38">
        <f t="shared" si="28"/>
        <v>0.11706637504840404</v>
      </c>
      <c r="E40" s="38">
        <f t="shared" si="28"/>
        <v>0.13411266307806349</v>
      </c>
      <c r="F40" s="71">
        <f t="shared" si="28"/>
        <v>3.4012542813287909E-2</v>
      </c>
      <c r="G40" s="126">
        <f t="shared" ref="G40" si="29">+G39/G34</f>
        <v>4.0915438426970756E-2</v>
      </c>
      <c r="H40" s="38">
        <f t="shared" si="28"/>
        <v>8.8076454149080177E-2</v>
      </c>
      <c r="I40" s="38">
        <f t="shared" si="28"/>
        <v>6.0321043504476196E-3</v>
      </c>
      <c r="J40" s="38">
        <f t="shared" ref="J40:L40" si="30">+J39/J34</f>
        <v>2.192693686651645E-2</v>
      </c>
      <c r="K40" s="126">
        <f t="shared" si="30"/>
        <v>0.13616029795881435</v>
      </c>
      <c r="L40" s="38">
        <f t="shared" si="30"/>
        <v>8.1655412395513327E-2</v>
      </c>
      <c r="M40" s="38">
        <f t="shared" ref="M40:P40" si="31">+M39/M34</f>
        <v>0.10820226383555541</v>
      </c>
      <c r="N40" s="38">
        <f t="shared" si="31"/>
        <v>-0.14507944508554135</v>
      </c>
      <c r="O40" s="126">
        <f t="shared" si="31"/>
        <v>2.3981150438099737E-2</v>
      </c>
      <c r="P40" s="38">
        <f t="shared" si="31"/>
        <v>0.15349069942080898</v>
      </c>
      <c r="Q40" s="38">
        <f t="shared" ref="Q40:R40" si="32">+Q39/Q34</f>
        <v>8.4452364246589931E-2</v>
      </c>
      <c r="R40" s="38">
        <f t="shared" si="32"/>
        <v>0.15878232293073952</v>
      </c>
    </row>
    <row r="41" spans="1:18" ht="15" customHeight="1" outlineLevel="1" x14ac:dyDescent="0.2">
      <c r="B41" s="1" t="s">
        <v>71</v>
      </c>
      <c r="C41" s="128">
        <f>+C25</f>
        <v>20.446773201066609</v>
      </c>
      <c r="D41" s="50">
        <f t="shared" ref="D41:N44" si="33">+D25-C25</f>
        <v>9.4624746235503636</v>
      </c>
      <c r="E41" s="50">
        <f t="shared" si="33"/>
        <v>-0.14869544434084503</v>
      </c>
      <c r="F41" s="50">
        <f t="shared" si="33"/>
        <v>10.956403466811</v>
      </c>
      <c r="G41" s="128">
        <f>+G25</f>
        <v>15.078544344314794</v>
      </c>
      <c r="H41" s="50">
        <f t="shared" si="33"/>
        <v>9.3978271005879659</v>
      </c>
      <c r="I41" s="50">
        <f t="shared" si="33"/>
        <v>31.183126335920136</v>
      </c>
      <c r="J41" s="50">
        <f t="shared" si="33"/>
        <v>-23.575510003457595</v>
      </c>
      <c r="K41" s="128">
        <f>+K25</f>
        <v>29.721513836136729</v>
      </c>
      <c r="L41" s="50">
        <f t="shared" si="33"/>
        <v>5.7292886494717905</v>
      </c>
      <c r="M41" s="50">
        <f t="shared" si="33"/>
        <v>6.0769821586788169</v>
      </c>
      <c r="N41" s="50">
        <f t="shared" si="33"/>
        <v>96.044287580381521</v>
      </c>
      <c r="O41" s="128">
        <f>+O25</f>
        <v>14.562383746400174</v>
      </c>
      <c r="P41" s="50">
        <f t="shared" ref="P41:P44" si="34">+P25-O25</f>
        <v>11.182123544627446</v>
      </c>
      <c r="Q41" s="50">
        <f t="shared" ref="Q41:R44" si="35">+Q25-P25</f>
        <v>2.0488631115647102</v>
      </c>
      <c r="R41" s="50">
        <f t="shared" si="35"/>
        <v>-14.230003395970458</v>
      </c>
    </row>
    <row r="42" spans="1:18" ht="15" customHeight="1" outlineLevel="1" x14ac:dyDescent="0.2">
      <c r="B42" s="66" t="s">
        <v>185</v>
      </c>
      <c r="C42" s="129">
        <f>+C26</f>
        <v>181.0690111693302</v>
      </c>
      <c r="D42" s="113">
        <f t="shared" si="33"/>
        <v>78.842549946031824</v>
      </c>
      <c r="E42" s="113">
        <f t="shared" si="33"/>
        <v>58.504073092454405</v>
      </c>
      <c r="F42" s="113">
        <f t="shared" si="33"/>
        <v>-5.0768346592193438</v>
      </c>
      <c r="G42" s="129">
        <f>+G26</f>
        <v>12.756849033994866</v>
      </c>
      <c r="H42" s="113">
        <f t="shared" si="33"/>
        <v>27.330126294673015</v>
      </c>
      <c r="I42" s="113">
        <f t="shared" si="33"/>
        <v>9.381911508185496</v>
      </c>
      <c r="J42" s="113">
        <f t="shared" si="33"/>
        <v>-16.702801792446337</v>
      </c>
      <c r="K42" s="129">
        <f>+K26</f>
        <v>71.398399348887693</v>
      </c>
      <c r="L42" s="113">
        <f t="shared" si="33"/>
        <v>54.56096171245153</v>
      </c>
      <c r="M42" s="113">
        <f t="shared" si="33"/>
        <v>54.090819390532033</v>
      </c>
      <c r="N42" s="113">
        <f t="shared" si="33"/>
        <v>-52.556701675489933</v>
      </c>
      <c r="O42" s="129">
        <f>+O26</f>
        <v>11.934244450349388</v>
      </c>
      <c r="P42" s="113">
        <f t="shared" si="34"/>
        <v>78.189126613405818</v>
      </c>
      <c r="Q42" s="113">
        <f t="shared" si="35"/>
        <v>39.133982897233835</v>
      </c>
      <c r="R42" s="113">
        <f t="shared" si="35"/>
        <v>65.988972589351675</v>
      </c>
    </row>
    <row r="43" spans="1:18" ht="15" customHeight="1" outlineLevel="1" x14ac:dyDescent="0.2">
      <c r="B43" s="1" t="s">
        <v>72</v>
      </c>
      <c r="C43" s="128">
        <f>+C27</f>
        <v>-35.456562680639244</v>
      </c>
      <c r="D43" s="50">
        <f t="shared" si="33"/>
        <v>-14.593084097658526</v>
      </c>
      <c r="E43" s="50">
        <f t="shared" si="33"/>
        <v>-13.413912453481707</v>
      </c>
      <c r="F43" s="50">
        <f t="shared" si="33"/>
        <v>-0.39382544871156</v>
      </c>
      <c r="G43" s="128">
        <f>+G27</f>
        <v>-5.1471577945207816</v>
      </c>
      <c r="H43" s="50">
        <f t="shared" si="33"/>
        <v>-13.092171120527654</v>
      </c>
      <c r="I43" s="50">
        <f t="shared" si="33"/>
        <v>-12.171442286286137</v>
      </c>
      <c r="J43" s="50">
        <f t="shared" si="33"/>
        <v>-11.978925231826519</v>
      </c>
      <c r="K43" s="128">
        <f>+K27</f>
        <v>-15.866928920238742</v>
      </c>
      <c r="L43" s="50">
        <f t="shared" si="33"/>
        <v>-17.963907367613949</v>
      </c>
      <c r="M43" s="50">
        <f t="shared" si="33"/>
        <v>1.9945531020119809</v>
      </c>
      <c r="N43" s="50">
        <f t="shared" si="33"/>
        <v>-2.0011322640954781</v>
      </c>
      <c r="O43" s="128">
        <f>+O27</f>
        <v>-4.8207091200275771</v>
      </c>
      <c r="P43" s="50">
        <f t="shared" si="34"/>
        <v>-13.426410536421091</v>
      </c>
      <c r="Q43" s="50">
        <f t="shared" si="35"/>
        <v>2.137248390167823</v>
      </c>
      <c r="R43" s="50">
        <f t="shared" si="35"/>
        <v>29.210492369282434</v>
      </c>
    </row>
    <row r="44" spans="1:18" ht="15" customHeight="1" outlineLevel="1" x14ac:dyDescent="0.2">
      <c r="B44" s="46" t="s">
        <v>73</v>
      </c>
      <c r="C44" s="114">
        <f>+C28</f>
        <v>145.61244848869097</v>
      </c>
      <c r="D44" s="114">
        <f t="shared" si="33"/>
        <v>64.249465848373262</v>
      </c>
      <c r="E44" s="114">
        <f t="shared" si="33"/>
        <v>45.090160638972691</v>
      </c>
      <c r="F44" s="114">
        <f t="shared" si="33"/>
        <v>-5.470660107930911</v>
      </c>
      <c r="G44" s="114">
        <f>+G28</f>
        <v>7.6096912394740865</v>
      </c>
      <c r="H44" s="114">
        <f t="shared" si="33"/>
        <v>14.237955174145357</v>
      </c>
      <c r="I44" s="114">
        <f t="shared" si="33"/>
        <v>-2.7895307781006373</v>
      </c>
      <c r="J44" s="114">
        <f t="shared" si="33"/>
        <v>-28.681727024272853</v>
      </c>
      <c r="K44" s="114">
        <f>+K28</f>
        <v>55.531470428648937</v>
      </c>
      <c r="L44" s="114">
        <f t="shared" si="33"/>
        <v>36.597054344837595</v>
      </c>
      <c r="M44" s="114">
        <f t="shared" si="33"/>
        <v>56.085372492544025</v>
      </c>
      <c r="N44" s="114">
        <f t="shared" si="33"/>
        <v>-54.55783393958545</v>
      </c>
      <c r="O44" s="114">
        <f>+O28</f>
        <v>7.1135353303218114</v>
      </c>
      <c r="P44" s="114">
        <f t="shared" si="34"/>
        <v>64.762716076984731</v>
      </c>
      <c r="Q44" s="114">
        <f t="shared" si="35"/>
        <v>41.271231287401633</v>
      </c>
      <c r="R44" s="114">
        <f t="shared" si="35"/>
        <v>95.19946495863411</v>
      </c>
    </row>
    <row r="45" spans="1:18" ht="15" customHeight="1" outlineLevel="1" x14ac:dyDescent="0.2">
      <c r="A45" s="55" t="s">
        <v>164</v>
      </c>
      <c r="B45" s="48" t="s">
        <v>68</v>
      </c>
      <c r="C45" s="49">
        <f t="shared" ref="C45:I45" si="36">+C44/C34</f>
        <v>0.17022533950026572</v>
      </c>
      <c r="D45" s="49">
        <f t="shared" si="36"/>
        <v>0.10319805538943889</v>
      </c>
      <c r="E45" s="49">
        <f t="shared" si="36"/>
        <v>8.5528974419534928E-2</v>
      </c>
      <c r="F45" s="49">
        <f t="shared" si="36"/>
        <v>-9.6007349627657817E-3</v>
      </c>
      <c r="G45" s="49">
        <f t="shared" ref="G45" si="37">+G44/G34</f>
        <v>1.5340807560706039E-2</v>
      </c>
      <c r="H45" s="49">
        <f t="shared" si="36"/>
        <v>3.7322083822256935E-2</v>
      </c>
      <c r="I45" s="49">
        <f t="shared" si="36"/>
        <v>-7.5471278884842227E-3</v>
      </c>
      <c r="J45" s="49">
        <f t="shared" ref="J45:L45" si="38">+J44/J34</f>
        <v>-6.7056755069481694E-2</v>
      </c>
      <c r="K45" s="49">
        <f t="shared" si="38"/>
        <v>0.10799846250888054</v>
      </c>
      <c r="L45" s="49">
        <f t="shared" si="38"/>
        <v>8.5325111691338537E-2</v>
      </c>
      <c r="M45" s="49">
        <f t="shared" ref="M45:P45" si="39">+M44/M34</f>
        <v>0.13385925269919652</v>
      </c>
      <c r="N45" s="49">
        <f t="shared" si="39"/>
        <v>-0.11612112831931359</v>
      </c>
      <c r="O45" s="49">
        <f t="shared" si="39"/>
        <v>1.8703597890111948E-2</v>
      </c>
      <c r="P45" s="49">
        <f t="shared" si="39"/>
        <v>0.13063598328971687</v>
      </c>
      <c r="Q45" s="49">
        <f t="shared" ref="Q45:R45" si="40">+Q44/Q34</f>
        <v>8.9414263024369306E-2</v>
      </c>
      <c r="R45" s="49">
        <f t="shared" si="40"/>
        <v>0.18474776708437157</v>
      </c>
    </row>
    <row r="48" spans="1:18" ht="20.100000000000001" customHeight="1" outlineLevel="1" x14ac:dyDescent="0.2">
      <c r="B48" s="32" t="s">
        <v>151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2:18" outlineLevel="1" x14ac:dyDescent="0.2">
      <c r="B49" s="34" t="s">
        <v>244</v>
      </c>
      <c r="C49" s="35" t="s">
        <v>187</v>
      </c>
      <c r="D49" s="35" t="s">
        <v>189</v>
      </c>
      <c r="E49" s="35" t="s">
        <v>192</v>
      </c>
      <c r="F49" s="35">
        <v>2019</v>
      </c>
      <c r="G49" s="35" t="s">
        <v>194</v>
      </c>
      <c r="H49" s="35" t="s">
        <v>206</v>
      </c>
      <c r="I49" s="35" t="s">
        <v>207</v>
      </c>
      <c r="J49" s="35">
        <v>2020</v>
      </c>
      <c r="K49" s="35" t="s">
        <v>220</v>
      </c>
      <c r="L49" s="35" t="s">
        <v>221</v>
      </c>
      <c r="M49" s="35" t="s">
        <v>223</v>
      </c>
      <c r="N49" s="35">
        <v>2021</v>
      </c>
      <c r="O49" s="35" t="s">
        <v>233</v>
      </c>
      <c r="P49" s="35" t="s">
        <v>234</v>
      </c>
      <c r="Q49" s="35" t="s">
        <v>235</v>
      </c>
      <c r="R49" s="35">
        <v>2022</v>
      </c>
    </row>
    <row r="50" spans="2:18" ht="15" customHeight="1" outlineLevel="1" x14ac:dyDescent="0.2">
      <c r="B50" s="42" t="s">
        <v>196</v>
      </c>
      <c r="C50" s="104">
        <f>'Finansallar - 2019-2022'!C50/C$13</f>
        <v>619.97930224318998</v>
      </c>
      <c r="D50" s="104">
        <f>'Finansallar - 2019-2022'!D50/D$13</f>
        <v>1061.6769578447245</v>
      </c>
      <c r="E50" s="104">
        <f>'Finansallar - 2019-2022'!E50/E$13</f>
        <v>1459.136462068228</v>
      </c>
      <c r="F50" s="104">
        <f>'Finansallar - 2019-2022'!F50/F$13</f>
        <v>1858.2476371843741</v>
      </c>
      <c r="G50" s="104">
        <f>'Finansallar - 2019-2022'!G50/G$13</f>
        <v>293.36041758999409</v>
      </c>
      <c r="H50" s="104">
        <f>'Finansallar - 2019-2022'!H50/H$13</f>
        <v>557.42380003398694</v>
      </c>
      <c r="I50" s="104">
        <f>'Finansallar - 2019-2022'!I50/I$13</f>
        <v>753.04920913884223</v>
      </c>
      <c r="J50" s="104">
        <f>'Finansallar - 2019-2022'!J50/J$13</f>
        <v>1014.8652083273851</v>
      </c>
      <c r="K50" s="104">
        <f>'Finansallar - 2019-2022'!K50/K$13</f>
        <v>284.18244709712422</v>
      </c>
      <c r="L50" s="104">
        <f>'Finansallar - 2019-2022'!L50/L$13</f>
        <v>509.53019963656072</v>
      </c>
      <c r="M50" s="104">
        <f>'Finansallar - 2019-2022'!M50/M$13</f>
        <v>738.94497453898259</v>
      </c>
      <c r="N50" s="104">
        <f>'Finansallar - 2019-2022'!N50/N$13</f>
        <v>925.66663279018019</v>
      </c>
      <c r="O50" s="104">
        <f>'Finansallar - 2019-2022'!O50/O$13</f>
        <v>141.05901194314973</v>
      </c>
      <c r="P50" s="104">
        <f>'Finansallar - 2019-2022'!P50/P$13</f>
        <v>333.38299636628398</v>
      </c>
      <c r="Q50" s="104">
        <f>'Finansallar - 2019-2022'!Q50/Q$13</f>
        <v>478.44069548990683</v>
      </c>
      <c r="R50" s="104">
        <f>'Finansallar - 2019-2022'!R50/R$13</f>
        <v>659.52560539417061</v>
      </c>
    </row>
    <row r="51" spans="2:18" ht="15" customHeight="1" outlineLevel="1" x14ac:dyDescent="0.2">
      <c r="B51" s="24" t="s">
        <v>197</v>
      </c>
      <c r="C51" s="104">
        <f>'Finansallar - 2019-2022'!C51/C$13</f>
        <v>218.42454642078002</v>
      </c>
      <c r="D51" s="104">
        <f>'Finansallar - 2019-2022'!D51/D$13</f>
        <v>366.77562859227351</v>
      </c>
      <c r="E51" s="104">
        <f>'Finansallar - 2019-2022'!E51/E$13</f>
        <v>467.32223366111583</v>
      </c>
      <c r="F51" s="104">
        <f>'Finansallar - 2019-2022'!F51/F$13</f>
        <v>606.47252786006618</v>
      </c>
      <c r="G51" s="104">
        <f>'Finansallar - 2019-2022'!G51/G$13</f>
        <v>182.9503783588585</v>
      </c>
      <c r="H51" s="104">
        <f>'Finansallar - 2019-2022'!H51/H$13</f>
        <v>274.43620521851977</v>
      </c>
      <c r="I51" s="104">
        <f>'Finansallar - 2019-2022'!I51/I$13</f>
        <v>415.82884036817615</v>
      </c>
      <c r="J51" s="104">
        <f>'Finansallar - 2019-2022'!J51/J$13</f>
        <v>555.13136476568593</v>
      </c>
      <c r="K51" s="104">
        <f>'Finansallar - 2019-2022'!K51/K$13</f>
        <v>211.70550732501357</v>
      </c>
      <c r="L51" s="104">
        <f>'Finansallar - 2019-2022'!L51/L$13</f>
        <v>391.94401026774807</v>
      </c>
      <c r="M51" s="104">
        <f>'Finansallar - 2019-2022'!M51/M$13</f>
        <v>554.31403569486338</v>
      </c>
      <c r="N51" s="104">
        <f>'Finansallar - 2019-2022'!N51/N$13</f>
        <v>813.02810619149238</v>
      </c>
      <c r="O51" s="104">
        <f>'Finansallar - 2019-2022'!O51/O$13</f>
        <v>218.57931817039275</v>
      </c>
      <c r="P51" s="104">
        <f>'Finansallar - 2019-2022'!P51/P$13</f>
        <v>494.30760518562965</v>
      </c>
      <c r="Q51" s="104">
        <f>'Finansallar - 2019-2022'!Q51/Q$13</f>
        <v>778.27955769061043</v>
      </c>
      <c r="R51" s="104">
        <f>'Finansallar - 2019-2022'!R51/R$13</f>
        <v>1079.9374063512007</v>
      </c>
    </row>
    <row r="52" spans="2:18" ht="15" customHeight="1" outlineLevel="1" x14ac:dyDescent="0.2">
      <c r="B52" s="24" t="s">
        <v>198</v>
      </c>
      <c r="C52" s="104">
        <f>'Finansallar - 2019-2022'!C52/C$13</f>
        <v>0.80311025750993026</v>
      </c>
      <c r="D52" s="104">
        <f>'Finansallar - 2019-2022'!D52/D$13</f>
        <v>14.308059149064894</v>
      </c>
      <c r="E52" s="104">
        <f>'Finansallar - 2019-2022'!E52/E$13</f>
        <v>25.966487983243933</v>
      </c>
      <c r="F52" s="104">
        <f>'Finansallar - 2019-2022'!F52/F$13</f>
        <v>36.258816476230855</v>
      </c>
      <c r="G52" s="104">
        <f>'Finansallar - 2019-2022'!G52/G$13</f>
        <v>1.843535070008703</v>
      </c>
      <c r="H52" s="104">
        <f>'Finansallar - 2019-2022'!H52/H$13</f>
        <v>9.0624275849283968</v>
      </c>
      <c r="I52" s="104">
        <f>'Finansallar - 2019-2022'!I52/I$13</f>
        <v>19.649399779571713</v>
      </c>
      <c r="J52" s="104">
        <f>'Finansallar - 2019-2022'!J52/J$13</f>
        <v>28.641659765256911</v>
      </c>
      <c r="K52" s="104">
        <f>'Finansallar - 2019-2022'!K52/K$13</f>
        <v>0.7132392837764514</v>
      </c>
      <c r="L52" s="104">
        <f>'Finansallar - 2019-2022'!L52/L$13</f>
        <v>7.3937961445109233</v>
      </c>
      <c r="M52" s="104">
        <f>'Finansallar - 2019-2022'!M52/M$13</f>
        <v>13.5269689029515</v>
      </c>
      <c r="N52" s="104">
        <f>'Finansallar - 2019-2022'!N52/N$13</f>
        <v>20.75092878033357</v>
      </c>
      <c r="O52" s="104">
        <f>'Finansallar - 2019-2022'!O52/O$13</f>
        <v>1.474616318235028</v>
      </c>
      <c r="P52" s="104">
        <f>'Finansallar - 2019-2022'!P52/P$13</f>
        <v>5.2957197656623949</v>
      </c>
      <c r="Q52" s="104">
        <f>'Finansallar - 2019-2022'!Q52/Q$13</f>
        <v>9.163735169144255</v>
      </c>
      <c r="R52" s="104">
        <f>'Finansallar - 2019-2022'!R52/R$13</f>
        <v>16.038843105031653</v>
      </c>
    </row>
    <row r="53" spans="2:18" ht="15" customHeight="1" outlineLevel="1" x14ac:dyDescent="0.2">
      <c r="B53" s="24" t="s">
        <v>199</v>
      </c>
      <c r="C53" s="104">
        <f>'Finansallar - 2019-2022'!C53/C$13</f>
        <v>14.265416099498422</v>
      </c>
      <c r="D53" s="104">
        <f>'Finansallar - 2019-2022'!D53/D$13</f>
        <v>31.525882164528351</v>
      </c>
      <c r="E53" s="104">
        <f>'Finansallar - 2019-2022'!E53/E$13</f>
        <v>47.159288579644183</v>
      </c>
      <c r="F53" s="104">
        <f>'Finansallar - 2019-2022'!F53/F$13</f>
        <v>66.555402736634363</v>
      </c>
      <c r="G53" s="104">
        <f>'Finansallar - 2019-2022'!G53/G$13</f>
        <v>16.024195269283197</v>
      </c>
      <c r="H53" s="104">
        <f>'Finansallar - 2019-2022'!H53/H$13</f>
        <v>32.989448641300157</v>
      </c>
      <c r="I53" s="104">
        <f>'Finansallar - 2019-2022'!I53/I$13</f>
        <v>53.297042089899172</v>
      </c>
      <c r="J53" s="104">
        <f>'Finansallar - 2019-2022'!J53/J$13</f>
        <v>69.429705571579603</v>
      </c>
      <c r="K53" s="104">
        <f>'Finansallar - 2019-2022'!K53/K$13</f>
        <v>16.030385241454152</v>
      </c>
      <c r="L53" s="104">
        <f>'Finansallar - 2019-2022'!L53/L$13</f>
        <v>31.23009670491647</v>
      </c>
      <c r="M53" s="104">
        <f>'Finansallar - 2019-2022'!M53/M$13</f>
        <v>47.902679586691065</v>
      </c>
      <c r="N53" s="104">
        <f>'Finansallar - 2019-2022'!N53/N$13</f>
        <v>63.506555100105011</v>
      </c>
      <c r="O53" s="104">
        <f>'Finansallar - 2019-2022'!O53/O$13</f>
        <v>17.623219838699249</v>
      </c>
      <c r="P53" s="104">
        <f>'Finansallar - 2019-2022'!P53/P$13</f>
        <v>39.846224373537922</v>
      </c>
      <c r="Q53" s="104">
        <f>'Finansallar - 2019-2022'!Q53/Q$13</f>
        <v>67.207070898109961</v>
      </c>
      <c r="R53" s="104">
        <f>'Finansallar - 2019-2022'!R53/R$13</f>
        <v>90.660767799313618</v>
      </c>
    </row>
    <row r="54" spans="2:18" ht="15" customHeight="1" outlineLevel="1" x14ac:dyDescent="0.2">
      <c r="B54" s="24" t="s">
        <v>200</v>
      </c>
      <c r="C54" s="104">
        <f>'Finansallar - 2019-2022'!C54/C$13</f>
        <v>1.937571090268327</v>
      </c>
      <c r="D54" s="104">
        <f>'Finansallar - 2019-2022'!D54/D$13</f>
        <v>3.7074932825595668</v>
      </c>
      <c r="E54" s="104">
        <f>'Finansallar - 2019-2022'!E54/E$13</f>
        <v>5.6011928005963885</v>
      </c>
      <c r="F54" s="104">
        <f>'Finansallar - 2019-2022'!F54/F$13</f>
        <v>7.4680843560445922</v>
      </c>
      <c r="G54" s="104">
        <f>'Finansallar - 2019-2022'!G54/G$13</f>
        <v>1.8638892992564173</v>
      </c>
      <c r="H54" s="104">
        <f>'Finansallar - 2019-2022'!H54/H$13</f>
        <v>3.6192859680832994</v>
      </c>
      <c r="I54" s="104">
        <f>'Finansallar - 2019-2022'!I54/I$13</f>
        <v>5.32155729647614</v>
      </c>
      <c r="J54" s="104">
        <f>'Finansallar - 2019-2022'!J54/J$13</f>
        <v>6.8012679555644482</v>
      </c>
      <c r="K54" s="104">
        <f>'Finansallar - 2019-2022'!K54/K$13</f>
        <v>1.5560227889310907</v>
      </c>
      <c r="L54" s="104">
        <f>'Finansallar - 2019-2022'!L54/L$13</f>
        <v>3.0025542297281742</v>
      </c>
      <c r="M54" s="104">
        <f>'Finansallar - 2019-2022'!M54/M$13</f>
        <v>7.3996390962574781</v>
      </c>
      <c r="N54" s="104">
        <f>'Finansallar - 2019-2022'!N54/N$13</f>
        <v>8.9716227966168685</v>
      </c>
      <c r="O54" s="104">
        <f>'Finansallar - 2019-2022'!O54/O$13</f>
        <v>1.5936169143152619</v>
      </c>
      <c r="P54" s="104">
        <f>'Finansallar - 2019-2022'!P54/P$13</f>
        <v>3.2466814532167487</v>
      </c>
      <c r="Q54" s="104">
        <f>'Finansallar - 2019-2022'!Q54/Q$13</f>
        <v>4.561410144872716</v>
      </c>
      <c r="R54" s="104">
        <f>'Finansallar - 2019-2022'!R54/R$13</f>
        <v>6.784082120933828</v>
      </c>
    </row>
    <row r="55" spans="2:18" ht="15" customHeight="1" outlineLevel="1" x14ac:dyDescent="0.2">
      <c r="B55" s="43" t="s">
        <v>77</v>
      </c>
      <c r="C55" s="102">
        <f>SUM(C50:C54)</f>
        <v>855.40994611124665</v>
      </c>
      <c r="D55" s="102">
        <f t="shared" ref="D55:J55" si="41">SUM(D50:D54)</f>
        <v>1477.9940210331511</v>
      </c>
      <c r="E55" s="102">
        <f t="shared" si="41"/>
        <v>2005.1856650928285</v>
      </c>
      <c r="F55" s="102">
        <f t="shared" si="41"/>
        <v>2575.0024686133502</v>
      </c>
      <c r="G55" s="102">
        <f t="shared" si="41"/>
        <v>496.04241558740097</v>
      </c>
      <c r="H55" s="102">
        <f t="shared" si="41"/>
        <v>877.53116744681859</v>
      </c>
      <c r="I55" s="102">
        <f t="shared" si="41"/>
        <v>1247.1460486729654</v>
      </c>
      <c r="J55" s="102">
        <f t="shared" si="41"/>
        <v>1674.8692063854721</v>
      </c>
      <c r="K55" s="102">
        <f t="shared" ref="K55:L55" si="42">SUM(K50:K54)</f>
        <v>514.18760173629937</v>
      </c>
      <c r="L55" s="102">
        <f t="shared" si="42"/>
        <v>943.10065698346432</v>
      </c>
      <c r="M55" s="102">
        <f t="shared" ref="M55:P55" si="43">SUM(M50:M54)</f>
        <v>1362.0882978197458</v>
      </c>
      <c r="N55" s="102">
        <f t="shared" si="43"/>
        <v>1831.9238456587282</v>
      </c>
      <c r="O55" s="102">
        <f t="shared" si="43"/>
        <v>380.32978318479195</v>
      </c>
      <c r="P55" s="102">
        <f t="shared" si="43"/>
        <v>876.07922714433073</v>
      </c>
      <c r="Q55" s="102">
        <f t="shared" ref="Q55:R55" si="44">SUM(Q50:Q54)</f>
        <v>1337.6524693926444</v>
      </c>
      <c r="R55" s="102">
        <f t="shared" si="44"/>
        <v>1852.9467047706503</v>
      </c>
    </row>
    <row r="56" spans="2:18" ht="15" customHeight="1" outlineLevel="1" x14ac:dyDescent="0.2">
      <c r="B56" s="42" t="s">
        <v>196</v>
      </c>
      <c r="C56" s="104">
        <f>'Finansallar - 2019-2022'!C56/C$13</f>
        <v>150.77197038915529</v>
      </c>
      <c r="D56" s="104">
        <f>'Finansallar - 2019-2022'!D56/D$13</f>
        <v>192.7561969500151</v>
      </c>
      <c r="E56" s="104">
        <f>'Finansallar - 2019-2022'!E56/E$13</f>
        <v>249.85924242962065</v>
      </c>
      <c r="F56" s="104">
        <f>'Finansallar - 2019-2022'!F56/F$13</f>
        <v>255.92537734518319</v>
      </c>
      <c r="G56" s="104">
        <f>'Finansallar - 2019-2022'!G56/G$13</f>
        <v>-7.58851627517606</v>
      </c>
      <c r="H56" s="104">
        <f>'Finansallar - 2019-2022'!H56/H$13</f>
        <v>6.9096723362840073</v>
      </c>
      <c r="I56" s="104">
        <f>'Finansallar - 2019-2022'!I56/I$13</f>
        <v>-24.624527121622901</v>
      </c>
      <c r="J56" s="104">
        <f>'Finansallar - 2019-2022'!J56/J$13</f>
        <v>-49.108147471228321</v>
      </c>
      <c r="K56" s="104">
        <f>'Finansallar - 2019-2022'!K56/K$13</f>
        <v>14.759495387954424</v>
      </c>
      <c r="L56" s="104">
        <f>'Finansallar - 2019-2022'!L56/L$13</f>
        <v>19.906344909966514</v>
      </c>
      <c r="M56" s="104">
        <f>'Finansallar - 2019-2022'!M56/M$13</f>
        <v>33.216616403816687</v>
      </c>
      <c r="N56" s="104">
        <f>'Finansallar - 2019-2022'!N56/N$13</f>
        <v>-121.16489944329641</v>
      </c>
      <c r="O56" s="104">
        <f>'Finansallar - 2019-2022'!O56/O$13</f>
        <v>-33.323039578291187</v>
      </c>
      <c r="P56" s="104">
        <f>'Finansallar - 2019-2022'!P56/P$13</f>
        <v>-11.056204620684541</v>
      </c>
      <c r="Q56" s="104">
        <f>'Finansallar - 2019-2022'!Q56/Q$13</f>
        <v>-21.749820327571207</v>
      </c>
      <c r="R56" s="104">
        <f>'Finansallar - 2019-2022'!R56/R$13</f>
        <v>38.268699550485756</v>
      </c>
    </row>
    <row r="57" spans="2:18" ht="15" customHeight="1" outlineLevel="1" x14ac:dyDescent="0.2">
      <c r="B57" s="24" t="s">
        <v>197</v>
      </c>
      <c r="C57" s="104">
        <f>'Finansallar - 2019-2022'!C57/C$13</f>
        <v>28.04173115292102</v>
      </c>
      <c r="D57" s="104">
        <f>'Finansallar - 2019-2022'!D57/D$13</f>
        <v>56.030037190597355</v>
      </c>
      <c r="E57" s="104">
        <f>'Finansallar - 2019-2022'!E57/E$13</f>
        <v>70.152827576413628</v>
      </c>
      <c r="F57" s="104">
        <f>'Finansallar - 2019-2022'!F57/F$13</f>
        <v>80.683805896459475</v>
      </c>
      <c r="G57" s="104">
        <f>'Finansallar - 2019-2022'!G57/G$13</f>
        <v>28.640042021634628</v>
      </c>
      <c r="H57" s="104">
        <f>'Finansallar - 2019-2022'!H57/H$13</f>
        <v>43.393737158393975</v>
      </c>
      <c r="I57" s="104">
        <f>'Finansallar - 2019-2022'!I57/I$13</f>
        <v>71.177802269816411</v>
      </c>
      <c r="J57" s="104">
        <f>'Finansallar - 2019-2022'!J57/J$13</f>
        <v>105.05868578119212</v>
      </c>
      <c r="K57" s="104">
        <f>'Finansallar - 2019-2022'!K57/K$13</f>
        <v>52.989283776451437</v>
      </c>
      <c r="L57" s="104">
        <f>'Finansallar - 2019-2022'!L57/L$13</f>
        <v>89.437052850952142</v>
      </c>
      <c r="M57" s="104">
        <f>'Finansallar - 2019-2022'!M57/M$13</f>
        <v>117.51594403520048</v>
      </c>
      <c r="N57" s="104">
        <f>'Finansallar - 2019-2022'!N57/N$13</f>
        <v>203.48476122723216</v>
      </c>
      <c r="O57" s="104">
        <f>'Finansallar - 2019-2022'!O57/O$13</f>
        <v>38.42203916893488</v>
      </c>
      <c r="P57" s="104">
        <f>'Finansallar - 2019-2022'!P57/P$13</f>
        <v>86.494576392306499</v>
      </c>
      <c r="Q57" s="104">
        <f>'Finansallar - 2019-2022'!Q57/Q$13</f>
        <v>130.49892196542726</v>
      </c>
      <c r="R57" s="104">
        <f>'Finansallar - 2019-2022'!R57/R$13</f>
        <v>148.52628208226588</v>
      </c>
    </row>
    <row r="58" spans="2:18" ht="15" customHeight="1" outlineLevel="1" x14ac:dyDescent="0.2">
      <c r="B58" s="24" t="s">
        <v>198</v>
      </c>
      <c r="C58" s="104">
        <f>'Finansallar - 2019-2022'!C58/C$13</f>
        <v>-0.5215461783736417</v>
      </c>
      <c r="D58" s="104">
        <f>'Finansallar - 2019-2022'!D58/D$13</f>
        <v>0.98154705767211758</v>
      </c>
      <c r="E58" s="104">
        <f>'Finansallar - 2019-2022'!E58/E$13</f>
        <v>-0.17483758741879332</v>
      </c>
      <c r="F58" s="104">
        <f>'Finansallar - 2019-2022'!F58/F$13</f>
        <v>-1.3988221187755707</v>
      </c>
      <c r="G58" s="104">
        <f>'Finansallar - 2019-2022'!G58/G$13</f>
        <v>-1.3011933487631544</v>
      </c>
      <c r="H58" s="104">
        <f>'Finansallar - 2019-2022'!H58/H$13</f>
        <v>-0.93849932798813573</v>
      </c>
      <c r="I58" s="104">
        <f>'Finansallar - 2019-2022'!I58/I$13</f>
        <v>-1.7166602126835711</v>
      </c>
      <c r="J58" s="104">
        <f>'Finansallar - 2019-2022'!J58/J$13</f>
        <v>-4.0124796527401028</v>
      </c>
      <c r="K58" s="104">
        <f>'Finansallar - 2019-2022'!K58/K$13</f>
        <v>-1.5462561041779705</v>
      </c>
      <c r="L58" s="104">
        <f>'Finansallar - 2019-2022'!L58/L$13</f>
        <v>-2.5701142414191778</v>
      </c>
      <c r="M58" s="104">
        <f>'Finansallar - 2019-2022'!M58/M$13</f>
        <v>-3.2726059227764872</v>
      </c>
      <c r="N58" s="104">
        <f>'Finansallar - 2019-2022'!N58/N$13</f>
        <v>-5.4202378129340421</v>
      </c>
      <c r="O58" s="104">
        <f>'Finansallar - 2019-2022'!O58/O$13</f>
        <v>7.1816895642868944E-2</v>
      </c>
      <c r="P58" s="104">
        <f>'Finansallar - 2019-2022'!P58/P$13</f>
        <v>1.3483176366688465</v>
      </c>
      <c r="Q58" s="104">
        <f>'Finansallar - 2019-2022'!Q58/Q$13</f>
        <v>1.3869450643668597</v>
      </c>
      <c r="R58" s="104">
        <f>'Finansallar - 2019-2022'!R58/R$13</f>
        <v>1.8548322780221369</v>
      </c>
    </row>
    <row r="59" spans="2:18" ht="15" customHeight="1" outlineLevel="1" x14ac:dyDescent="0.2">
      <c r="B59" s="24" t="s">
        <v>199</v>
      </c>
      <c r="C59" s="104">
        <f>'Finansallar - 2019-2022'!C59/C$13</f>
        <v>2.5652165805814042</v>
      </c>
      <c r="D59" s="104">
        <f>'Finansallar - 2019-2022'!D59/D$13</f>
        <v>8.0840614267665529</v>
      </c>
      <c r="E59" s="104">
        <f>'Finansallar - 2019-2022'!E59/E$13</f>
        <v>11.469700734850342</v>
      </c>
      <c r="F59" s="104">
        <f>'Finansallar - 2019-2022'!F59/F$13</f>
        <v>18.287487656933315</v>
      </c>
      <c r="G59" s="104">
        <f>'Finansallar - 2019-2022'!G59/G$13</f>
        <v>4.110733572987975</v>
      </c>
      <c r="H59" s="104">
        <f>'Finansallar - 2019-2022'!H59/H$13</f>
        <v>11.564783488591249</v>
      </c>
      <c r="I59" s="104">
        <f>'Finansallar - 2019-2022'!I59/I$13</f>
        <v>19.921211760150186</v>
      </c>
      <c r="J59" s="104">
        <f>'Finansallar - 2019-2022'!J59/J$13</f>
        <v>25.106091327069741</v>
      </c>
      <c r="K59" s="104">
        <f>'Finansallar - 2019-2022'!K59/K$13</f>
        <v>5.3598752034725985</v>
      </c>
      <c r="L59" s="104">
        <f>'Finansallar - 2019-2022'!L59/L$13</f>
        <v>9.7018794556059298</v>
      </c>
      <c r="M59" s="104">
        <f>'Finansallar - 2019-2022'!M59/M$13</f>
        <v>13.48469867009443</v>
      </c>
      <c r="N59" s="104">
        <f>'Finansallar - 2019-2022'!N59/N$13</f>
        <v>19.08375396637194</v>
      </c>
      <c r="O59" s="104">
        <f>'Finansallar - 2019-2022'!O59/O$13</f>
        <v>4.7399151124293502</v>
      </c>
      <c r="P59" s="104">
        <f>'Finansallar - 2019-2022'!P59/P$13</f>
        <v>10.247214038683234</v>
      </c>
      <c r="Q59" s="104">
        <f>'Finansallar - 2019-2022'!Q59/Q$13</f>
        <v>16.643340772402315</v>
      </c>
      <c r="R59" s="104">
        <f>'Finansallar - 2019-2022'!R59/R$13</f>
        <v>21.155015950505096</v>
      </c>
    </row>
    <row r="60" spans="2:18" ht="15" customHeight="1" outlineLevel="1" x14ac:dyDescent="0.2">
      <c r="B60" s="24" t="s">
        <v>200</v>
      </c>
      <c r="C60" s="104">
        <f>'Finansallar - 2019-2022'!C60/C$13</f>
        <v>-5.0875459173208579</v>
      </c>
      <c r="D60" s="104">
        <f>'Finansallar - 2019-2022'!D60/D$13</f>
        <v>-9.1983557841165879</v>
      </c>
      <c r="E60" s="104">
        <f>'Finansallar - 2019-2022'!E60/E$13</f>
        <v>-11.950370975185461</v>
      </c>
      <c r="F60" s="104">
        <f>'Finansallar - 2019-2022'!F60/F$13</f>
        <v>-14.760368176047429</v>
      </c>
      <c r="G60" s="104">
        <f>'Finansallar - 2019-2022'!G60/G$13</f>
        <v>-3.5652730585512442</v>
      </c>
      <c r="H60" s="104">
        <f>'Finansallar - 2019-2022'!H60/H$13</f>
        <v>-7.0337241816131391</v>
      </c>
      <c r="I60" s="104">
        <f>'Finansallar - 2019-2022'!I60/I$13</f>
        <v>-8.6323016889577566</v>
      </c>
      <c r="J60" s="104">
        <f>'Finansallar - 2019-2022'!J60/J$13</f>
        <v>-11.539966302081861</v>
      </c>
      <c r="K60" s="104">
        <f>'Finansallar - 2019-2022'!K60/K$13</f>
        <v>-1.5504612045577861</v>
      </c>
      <c r="L60" s="104">
        <f>'Finansallar - 2019-2022'!L60/L$13</f>
        <v>-11.440153507935864</v>
      </c>
      <c r="M60" s="104">
        <f>'Finansallar - 2019-2022'!M60/M$13</f>
        <v>-10.57423246156128</v>
      </c>
      <c r="N60" s="104">
        <f>'Finansallar - 2019-2022'!N60/N$13</f>
        <v>-13.776437774540691</v>
      </c>
      <c r="O60" s="104">
        <f>'Finansallar - 2019-2022'!O60/O$13</f>
        <v>-0.78998585207155836</v>
      </c>
      <c r="P60" s="104">
        <f>'Finansallar - 2019-2022'!P60/P$13</f>
        <v>-1.7528129276695004</v>
      </c>
      <c r="Q60" s="104">
        <f>'Finansallar - 2019-2022'!Q60/Q$13</f>
        <v>-2.5847612563200566</v>
      </c>
      <c r="R60" s="104">
        <f>'Finansallar - 2019-2022'!R60/R$13</f>
        <v>-3.7905831601334028</v>
      </c>
    </row>
    <row r="61" spans="2:18" ht="15" customHeight="1" outlineLevel="1" x14ac:dyDescent="0.2">
      <c r="B61" s="43" t="s">
        <v>78</v>
      </c>
      <c r="C61" s="102">
        <f>SUM(C56:C60)</f>
        <v>175.76982602696319</v>
      </c>
      <c r="D61" s="102">
        <f t="shared" ref="D61" si="45">SUM(D56:D60)</f>
        <v>248.65348684093453</v>
      </c>
      <c r="E61" s="102">
        <f t="shared" ref="E61" si="46">SUM(E56:E60)</f>
        <v>319.35656217828034</v>
      </c>
      <c r="F61" s="102">
        <f t="shared" ref="F61" si="47">SUM(F56:F60)</f>
        <v>338.73748060375294</v>
      </c>
      <c r="G61" s="102">
        <f t="shared" ref="G61" si="48">SUM(G56:G60)</f>
        <v>20.295792912132143</v>
      </c>
      <c r="H61" s="102">
        <f t="shared" ref="H61" si="49">SUM(H56:H60)</f>
        <v>53.895969473667961</v>
      </c>
      <c r="I61" s="102">
        <f>SUM(I56:I60)</f>
        <v>56.125525006702375</v>
      </c>
      <c r="J61" s="102">
        <f t="shared" ref="J61:K61" si="50">SUM(J56:J60)</f>
        <v>65.504183682211576</v>
      </c>
      <c r="K61" s="102">
        <f t="shared" si="50"/>
        <v>70.011937059142696</v>
      </c>
      <c r="L61" s="102">
        <f t="shared" ref="L61" si="51">SUM(L56:L60)</f>
        <v>105.03500946716956</v>
      </c>
      <c r="M61" s="102">
        <f t="shared" ref="M61:P61" si="52">SUM(M56:M60)</f>
        <v>150.37042072477382</v>
      </c>
      <c r="N61" s="102">
        <f t="shared" si="52"/>
        <v>82.20694016283295</v>
      </c>
      <c r="O61" s="102">
        <f t="shared" si="52"/>
        <v>9.1207457466443547</v>
      </c>
      <c r="P61" s="102">
        <f t="shared" si="52"/>
        <v>85.281090519304556</v>
      </c>
      <c r="Q61" s="102">
        <f t="shared" ref="Q61:R61" si="53">SUM(Q56:Q60)</f>
        <v>124.19462621830517</v>
      </c>
      <c r="R61" s="102">
        <f t="shared" si="53"/>
        <v>206.01424670114548</v>
      </c>
    </row>
    <row r="62" spans="2:18" ht="15" customHeight="1" outlineLevel="1" x14ac:dyDescent="0.2">
      <c r="B62" s="42" t="s">
        <v>196</v>
      </c>
      <c r="C62" s="104">
        <f>'Finansallar - 2019-2022'!C62/C$13</f>
        <v>118.12060638833481</v>
      </c>
      <c r="D62" s="104">
        <f>'Finansallar - 2019-2022'!D62/D$13</f>
        <v>153.37188817908427</v>
      </c>
      <c r="E62" s="104">
        <f>'Finansallar - 2019-2022'!E62/E$13</f>
        <v>189.38815719407816</v>
      </c>
      <c r="F62" s="104">
        <f>'Finansallar - 2019-2022'!F62/F$13</f>
        <v>174.69618422908766</v>
      </c>
      <c r="G62" s="104">
        <f>'Finansallar - 2019-2022'!G62/G$13</f>
        <v>-14.829040889020233</v>
      </c>
      <c r="H62" s="104">
        <f>'Finansallar - 2019-2022'!H62/H$13</f>
        <v>-16.644575242156002</v>
      </c>
      <c r="I62" s="104">
        <f>'Finansallar - 2019-2022'!I62/I$13</f>
        <v>-56.285335557475364</v>
      </c>
      <c r="J62" s="104">
        <f>'Finansallar - 2019-2022'!J62/J$13</f>
        <v>-95.18976497129978</v>
      </c>
      <c r="K62" s="104">
        <f>'Finansallar - 2019-2022'!K62/K$13</f>
        <v>1.5824742268041239</v>
      </c>
      <c r="L62" s="104">
        <f>'Finansallar - 2019-2022'!L62/L$13</f>
        <v>-6.4405982743064607</v>
      </c>
      <c r="M62" s="104">
        <f>'Finansallar - 2019-2022'!M62/M$13</f>
        <v>-1.6272803678251841</v>
      </c>
      <c r="N62" s="104">
        <f>'Finansallar - 2019-2022'!N62/N$13</f>
        <v>-189.60432263965581</v>
      </c>
      <c r="O62" s="104">
        <f>'Finansallar - 2019-2022'!O62/O$13</f>
        <v>-46.057826964371635</v>
      </c>
      <c r="P62" s="104">
        <f>'Finansallar - 2019-2022'!P62/P$13</f>
        <v>-29.160537439409978</v>
      </c>
      <c r="Q62" s="104">
        <f>'Finansallar - 2019-2022'!Q62/Q$13</f>
        <v>-44.8735988702702</v>
      </c>
      <c r="R62" s="104">
        <f>'Finansallar - 2019-2022'!R62/R$13</f>
        <v>3.2387561022765712</v>
      </c>
    </row>
    <row r="63" spans="2:18" ht="15" customHeight="1" outlineLevel="1" x14ac:dyDescent="0.2">
      <c r="B63" s="24" t="s">
        <v>197</v>
      </c>
      <c r="C63" s="104">
        <f>'Finansallar - 2019-2022'!C63/C$13</f>
        <v>19.709112606985045</v>
      </c>
      <c r="D63" s="104">
        <f>'Finansallar - 2019-2022'!D63/D$13</f>
        <v>41.976084132604939</v>
      </c>
      <c r="E63" s="104">
        <f>'Finansallar - 2019-2022'!E63/E$13</f>
        <v>51.997763498881632</v>
      </c>
      <c r="F63" s="104">
        <f>'Finansallar - 2019-2022'!F63/F$13</f>
        <v>57.01844406827491</v>
      </c>
      <c r="G63" s="104">
        <f>'Finansallar - 2019-2022'!G63/G$13</f>
        <v>14.66275996782721</v>
      </c>
      <c r="H63" s="104">
        <f>'Finansallar - 2019-2022'!H63/H$13</f>
        <v>20.792819514606606</v>
      </c>
      <c r="I63" s="104">
        <f>'Finansallar - 2019-2022'!I63/I$13</f>
        <v>38.284531291888946</v>
      </c>
      <c r="J63" s="104">
        <f>'Finansallar - 2019-2022'!J63/J$13</f>
        <v>64.335893994345682</v>
      </c>
      <c r="K63" s="104">
        <f>'Finansallar - 2019-2022'!K63/K$13</f>
        <v>42.099294628323385</v>
      </c>
      <c r="L63" s="104">
        <f>'Finansallar - 2019-2022'!L63/L$13</f>
        <v>67.913537417559155</v>
      </c>
      <c r="M63" s="104">
        <f>'Finansallar - 2019-2022'!M63/M$13</f>
        <v>102.82085825876304</v>
      </c>
      <c r="N63" s="104">
        <f>'Finansallar - 2019-2022'!N63/N$13</f>
        <v>188.06531386564586</v>
      </c>
      <c r="O63" s="104">
        <f>'Finansallar - 2019-2022'!O63/O$13</f>
        <v>23.904971883685356</v>
      </c>
      <c r="P63" s="104">
        <f>'Finansallar - 2019-2022'!P63/P$13</f>
        <v>51.320002966298802</v>
      </c>
      <c r="Q63" s="104">
        <f>'Finansallar - 2019-2022'!Q63/Q$13</f>
        <v>91.469720467526585</v>
      </c>
      <c r="R63" s="104">
        <f>'Finansallar - 2019-2022'!R63/R$13</f>
        <v>141.74503359273041</v>
      </c>
    </row>
    <row r="64" spans="2:18" ht="15" customHeight="1" outlineLevel="1" x14ac:dyDescent="0.2">
      <c r="B64" s="24" t="s">
        <v>198</v>
      </c>
      <c r="C64" s="104">
        <f>'Finansallar - 2019-2022'!C64/C$13</f>
        <v>-0.42122732103899052</v>
      </c>
      <c r="D64" s="104">
        <f>'Finansallar - 2019-2022'!D64/D$13</f>
        <v>-0.48472338381052366</v>
      </c>
      <c r="E64" s="104">
        <f>'Finansallar - 2019-2022'!E64/E$13</f>
        <v>-1.8635734317867119</v>
      </c>
      <c r="F64" s="104">
        <f>'Finansallar - 2019-2022'!F64/F$13</f>
        <v>-3.4241430385103753</v>
      </c>
      <c r="G64" s="104">
        <f>'Finansallar - 2019-2022'!G64/G$13</f>
        <v>-2.4425075097257145</v>
      </c>
      <c r="H64" s="104">
        <f>'Finansallar - 2019-2022'!H64/H$13</f>
        <v>-2.8879516769399518</v>
      </c>
      <c r="I64" s="104">
        <f>'Finansallar - 2019-2022'!I64/I$13</f>
        <v>-5.4803252807482812</v>
      </c>
      <c r="J64" s="104">
        <f>'Finansallar - 2019-2022'!J64/J$13</f>
        <v>-9.4471256818117038</v>
      </c>
      <c r="K64" s="104">
        <f>'Finansallar - 2019-2022'!K64/K$13</f>
        <v>-4.1134020618556706</v>
      </c>
      <c r="L64" s="104">
        <f>'Finansallar - 2019-2022'!L64/L$13</f>
        <v>-6.7462163089474068</v>
      </c>
      <c r="M64" s="104">
        <f>'Finansallar - 2019-2022'!M64/M$13</f>
        <v>-8.7632866960003959</v>
      </c>
      <c r="N64" s="104">
        <f>'Finansallar - 2019-2022'!N64/N$13</f>
        <v>-12.813555111397179</v>
      </c>
      <c r="O64" s="104">
        <f>'Finansallar - 2019-2022'!O64/O$13</f>
        <v>-1.4328907018665211</v>
      </c>
      <c r="P64" s="104">
        <f>'Finansallar - 2019-2022'!P64/P$13</f>
        <v>1.2943849312020927E-2</v>
      </c>
      <c r="Q64" s="104">
        <f>'Finansallar - 2019-2022'!Q64/Q$13</f>
        <v>-0.90346862352006652</v>
      </c>
      <c r="R64" s="104">
        <f>'Finansallar - 2019-2022'!R64/R$13</f>
        <v>-0.96661873459326186</v>
      </c>
    </row>
    <row r="65" spans="1:18" ht="15" customHeight="1" outlineLevel="1" x14ac:dyDescent="0.2">
      <c r="B65" s="24" t="s">
        <v>199</v>
      </c>
      <c r="C65" s="104">
        <f>'Finansallar - 2019-2022'!C65/C$13</f>
        <v>2.3916164761602889</v>
      </c>
      <c r="D65" s="104">
        <f>'Finansallar - 2019-2022'!D65/D$13</f>
        <v>6.7033827428510406</v>
      </c>
      <c r="E65" s="104">
        <f>'Finansallar - 2019-2022'!E65/E$13</f>
        <v>8.9997869998934803</v>
      </c>
      <c r="F65" s="104">
        <f>'Finansallar - 2019-2022'!F65/F$13</f>
        <v>14.020313161235746</v>
      </c>
      <c r="G65" s="104">
        <f>'Finansallar - 2019-2022'!G65/G$13</f>
        <v>2.9618686495625535</v>
      </c>
      <c r="H65" s="104">
        <f>'Finansallar - 2019-2022'!H65/H$13</f>
        <v>8.4435587276575372</v>
      </c>
      <c r="I65" s="104">
        <f>'Finansallar - 2019-2022'!I65/I$13</f>
        <v>15.447112090792695</v>
      </c>
      <c r="J65" s="104">
        <f>'Finansallar - 2019-2022'!J65/J$13</f>
        <v>18.808150326984059</v>
      </c>
      <c r="K65" s="104">
        <f>'Finansallar - 2019-2022'!K65/K$13</f>
        <v>4.3442756375474776</v>
      </c>
      <c r="L65" s="104">
        <f>'Finansallar - 2019-2022'!L65/L$13</f>
        <v>6.8275450167104861</v>
      </c>
      <c r="M65" s="104">
        <f>'Finansallar - 2019-2022'!M65/M$13</f>
        <v>9.272507045038811</v>
      </c>
      <c r="N65" s="104">
        <f>'Finansallar - 2019-2022'!N65/N$13</f>
        <v>15.004234560791353</v>
      </c>
      <c r="O65" s="104">
        <f>'Finansallar - 2019-2022'!O65/O$13</f>
        <v>4.2885459233139187</v>
      </c>
      <c r="P65" s="104">
        <f>'Finansallar - 2019-2022'!P65/P$13</f>
        <v>8.9854583942885267</v>
      </c>
      <c r="Q65" s="104">
        <f>'Finansallar - 2019-2022'!Q65/Q$13</f>
        <v>15.140018408543582</v>
      </c>
      <c r="R65" s="104">
        <f>'Finansallar - 2019-2022'!R65/R$13</f>
        <v>21.940838126540665</v>
      </c>
    </row>
    <row r="66" spans="1:18" ht="15" customHeight="1" outlineLevel="1" x14ac:dyDescent="0.2">
      <c r="B66" s="24" t="s">
        <v>200</v>
      </c>
      <c r="C66" s="104">
        <f>'Finansallar - 2019-2022'!C66/C$13</f>
        <v>5.8123403382498333</v>
      </c>
      <c r="D66" s="104">
        <f>'Finansallar - 2019-2022'!D66/D$13</f>
        <v>8.2952826663345007</v>
      </c>
      <c r="E66" s="104">
        <f>'Finansallar - 2019-2022'!E66/E$13</f>
        <v>6.4299407149703436</v>
      </c>
      <c r="F66" s="104">
        <f>'Finansallar - 2019-2022'!F66/F$13</f>
        <v>7.1706164480180705</v>
      </c>
      <c r="G66" s="104">
        <f>'Finansallar - 2019-2022'!G66/G$13</f>
        <v>7.2566110208302677</v>
      </c>
      <c r="H66" s="104">
        <f>'Finansallar - 2019-2022'!H66/H$13</f>
        <v>12.143795090451254</v>
      </c>
      <c r="I66" s="104">
        <f>'Finansallar - 2019-2022'!I66/I$13</f>
        <v>27.092133091060813</v>
      </c>
      <c r="J66" s="104">
        <f>'Finansallar - 2019-2022'!J66/J$13</f>
        <v>11.869234943027687</v>
      </c>
      <c r="K66" s="104">
        <f>'Finansallar - 2019-2022'!K66/K$13</f>
        <v>11.618827997829625</v>
      </c>
      <c r="L66" s="104">
        <f>'Finansallar - 2019-2022'!L66/L$13</f>
        <v>30.57425692247077</v>
      </c>
      <c r="M66" s="104">
        <f>'Finansallar - 2019-2022'!M66/M$13</f>
        <v>46.511099026054289</v>
      </c>
      <c r="N66" s="104">
        <f>'Finansallar - 2019-2022'!N66/N$13</f>
        <v>93.004392651060897</v>
      </c>
      <c r="O66" s="104">
        <f>'Finansallar - 2019-2022'!O66/O$13</f>
        <v>26.410735189560693</v>
      </c>
      <c r="P66" s="104">
        <f>'Finansallar - 2019-2022'!P66/P$13</f>
        <v>40.718383636817165</v>
      </c>
      <c r="Q66" s="104">
        <f>'Finansallar - 2019-2022'!Q66/Q$13</f>
        <v>52.31481131242829</v>
      </c>
      <c r="R66" s="104">
        <f>'Finansallar - 2019-2022'!R66/R$13</f>
        <v>42.388829812944067</v>
      </c>
    </row>
    <row r="67" spans="1:18" ht="15" customHeight="1" outlineLevel="1" x14ac:dyDescent="0.2">
      <c r="A67" s="55" t="s">
        <v>164</v>
      </c>
      <c r="B67" s="43" t="s">
        <v>79</v>
      </c>
      <c r="C67" s="102">
        <f>SUM(C62:C66)</f>
        <v>145.612448488691</v>
      </c>
      <c r="D67" s="102">
        <f t="shared" ref="D67" si="54">SUM(D62:D66)</f>
        <v>209.86191433706421</v>
      </c>
      <c r="E67" s="102">
        <f t="shared" ref="E67" si="55">SUM(E62:E66)</f>
        <v>254.9520749760369</v>
      </c>
      <c r="F67" s="102">
        <f t="shared" ref="F67" si="56">SUM(F62:F66)</f>
        <v>249.48141486810601</v>
      </c>
      <c r="G67" s="102">
        <f t="shared" ref="G67" si="57">SUM(G62:G66)</f>
        <v>7.6096912394740839</v>
      </c>
      <c r="H67" s="102">
        <f t="shared" ref="H67" si="58">SUM(H62:H66)</f>
        <v>21.847646413619444</v>
      </c>
      <c r="I67" s="102">
        <f t="shared" ref="I67" si="59">SUM(I62:I66)</f>
        <v>19.05811563551881</v>
      </c>
      <c r="J67" s="102">
        <f t="shared" ref="J67:K67" si="60">SUM(J62:J66)</f>
        <v>-9.6236113887540586</v>
      </c>
      <c r="K67" s="102">
        <f t="shared" si="60"/>
        <v>55.531470428648937</v>
      </c>
      <c r="L67" s="102">
        <f t="shared" ref="L67" si="61">SUM(L62:L66)</f>
        <v>92.128524773486546</v>
      </c>
      <c r="M67" s="102">
        <f t="shared" ref="M67:P67" si="62">SUM(M62:M66)</f>
        <v>148.21389726603056</v>
      </c>
      <c r="N67" s="102">
        <f t="shared" si="62"/>
        <v>93.656063326445121</v>
      </c>
      <c r="O67" s="102">
        <f t="shared" si="62"/>
        <v>7.1135353303218096</v>
      </c>
      <c r="P67" s="102">
        <f t="shared" si="62"/>
        <v>71.87625140730654</v>
      </c>
      <c r="Q67" s="102">
        <f t="shared" ref="Q67:R67" si="63">SUM(Q62:Q66)</f>
        <v>113.14748269470819</v>
      </c>
      <c r="R67" s="102">
        <f t="shared" si="63"/>
        <v>208.34683889989844</v>
      </c>
    </row>
    <row r="68" spans="1:18" ht="15" customHeight="1" x14ac:dyDescent="0.2">
      <c r="B68" s="52"/>
      <c r="C68" s="13"/>
      <c r="D68" s="13"/>
      <c r="E68" s="13"/>
      <c r="F68" s="13"/>
    </row>
    <row r="69" spans="1:18" ht="15" customHeight="1" x14ac:dyDescent="0.2">
      <c r="B69" s="52"/>
      <c r="C69" s="13"/>
      <c r="D69" s="13"/>
      <c r="E69" s="13"/>
      <c r="F69" s="13"/>
    </row>
    <row r="70" spans="1:18" ht="20.100000000000001" customHeight="1" outlineLevel="1" x14ac:dyDescent="0.2">
      <c r="B70" s="32" t="s">
        <v>218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15" customHeight="1" outlineLevel="1" x14ac:dyDescent="0.2">
      <c r="B71" s="42" t="s">
        <v>196</v>
      </c>
      <c r="C71" s="90">
        <f>IFERROR(C56/C50,"a.d.")</f>
        <v>0.24318871588718655</v>
      </c>
      <c r="D71" s="90">
        <f>IFERROR(D56/D50,"a.d.")</f>
        <v>0.1815582372074111</v>
      </c>
      <c r="E71" s="90">
        <f>IFERROR(E56/E50,"a.d.")</f>
        <v>0.17123774843886908</v>
      </c>
      <c r="F71" s="90">
        <f>IFERROR(F56/F50,"a.d.")</f>
        <v>0.13772404292302107</v>
      </c>
      <c r="G71" s="90">
        <f>IFERROR(G56/G50,"a.d.")</f>
        <v>-2.586755342631776E-2</v>
      </c>
      <c r="H71" s="90">
        <f>IFERROR(H56/H50,"a.d.")</f>
        <v>1.2395725363471589E-2</v>
      </c>
      <c r="I71" s="90">
        <f>IFERROR(I56/I50,"a.d.")</f>
        <v>-3.269975829306368E-2</v>
      </c>
      <c r="J71" s="90">
        <f>IFERROR(J56/J50,"a.d.")</f>
        <v>-4.8388837323691695E-2</v>
      </c>
      <c r="K71" s="90">
        <f>IFERROR(K56/K50,"a.d.")</f>
        <v>5.1936689048603039E-2</v>
      </c>
      <c r="L71" s="90">
        <f>IFERROR(L56/L50,"a.d.")</f>
        <v>3.9068037427742994E-2</v>
      </c>
      <c r="M71" s="90">
        <f>IFERROR(M56/M50,"a.d.")</f>
        <v>4.4951407138995793E-2</v>
      </c>
      <c r="N71" s="90">
        <f>IFERROR(N56/N50,"a.d.")</f>
        <v>-0.13089474671683529</v>
      </c>
      <c r="O71" s="90">
        <f>IFERROR(O56/O50,"a.d.")</f>
        <v>-0.23623474402132633</v>
      </c>
      <c r="P71" s="90">
        <f>IFERROR(P56/P50,"a.d.")</f>
        <v>-3.316367283632312E-2</v>
      </c>
      <c r="Q71" s="90">
        <f>IFERROR(Q56/Q50,"a.d.")</f>
        <v>-4.5459804177611057E-2</v>
      </c>
      <c r="R71" s="90">
        <f>IFERROR(R56/R50,"a.d.")</f>
        <v>5.8024585000932861E-2</v>
      </c>
    </row>
    <row r="72" spans="1:18" ht="15" customHeight="1" outlineLevel="1" x14ac:dyDescent="0.2">
      <c r="B72" s="24" t="s">
        <v>197</v>
      </c>
      <c r="C72" s="90">
        <f>IFERROR(C57/C51,"a.d.")</f>
        <v>0.12838177582340279</v>
      </c>
      <c r="D72" s="90">
        <f>IFERROR(D57/D51,"a.d.")</f>
        <v>0.15276379569069787</v>
      </c>
      <c r="E72" s="90">
        <f>IFERROR(E57/E51,"a.d.")</f>
        <v>0.15011660589486475</v>
      </c>
      <c r="F72" s="90">
        <f>IFERROR(F57/F51,"a.d.")</f>
        <v>0.13303785775944657</v>
      </c>
      <c r="G72" s="90">
        <f>IFERROR(G57/G51,"a.d.")</f>
        <v>0.15654541017377388</v>
      </c>
      <c r="H72" s="90">
        <f>IFERROR(H57/H51,"a.d.")</f>
        <v>0.15811957873357751</v>
      </c>
      <c r="I72" s="90">
        <f>IFERROR(I57/I51,"a.d.")</f>
        <v>0.17117091302949397</v>
      </c>
      <c r="J72" s="90">
        <f>IFERROR(J57/J51,"a.d.")</f>
        <v>0.18925013510187105</v>
      </c>
      <c r="K72" s="90">
        <f>IFERROR(K57/K51,"a.d.")</f>
        <v>0.25029714364067757</v>
      </c>
      <c r="L72" s="90">
        <f>IFERROR(L57/L51,"a.d.")</f>
        <v>0.22818833942596842</v>
      </c>
      <c r="M72" s="90">
        <f>IFERROR(M57/M51,"a.d.")</f>
        <v>0.21200246875922549</v>
      </c>
      <c r="N72" s="90">
        <f>IFERROR(N57/N51,"a.d.")</f>
        <v>0.25028010677321583</v>
      </c>
      <c r="O72" s="90">
        <f>IFERROR(O57/O51,"a.d.")</f>
        <v>0.17578076229052519</v>
      </c>
      <c r="P72" s="90">
        <f>IFERROR(P57/P51,"a.d.")</f>
        <v>0.17498127782157991</v>
      </c>
      <c r="Q72" s="90">
        <f>IFERROR(Q57/Q51,"a.d.")</f>
        <v>0.1676761527087475</v>
      </c>
      <c r="R72" s="90">
        <f>IFERROR(R57/R51,"a.d.")</f>
        <v>0.13753230623253773</v>
      </c>
    </row>
    <row r="73" spans="1:18" ht="15" customHeight="1" outlineLevel="1" x14ac:dyDescent="0.2">
      <c r="B73" s="24" t="s">
        <v>198</v>
      </c>
      <c r="C73" s="90">
        <f>IFERROR(C58/C52,"a.d.")</f>
        <v>-0.64940794056187601</v>
      </c>
      <c r="D73" s="90">
        <f>IFERROR(D58/D52,"a.d.")</f>
        <v>6.860099245090602E-2</v>
      </c>
      <c r="E73" s="90">
        <f>IFERROR(E58/E52,"a.d.")</f>
        <v>-6.7332011757468046E-3</v>
      </c>
      <c r="F73" s="90">
        <f>IFERROR(F58/F52,"a.d.")</f>
        <v>-3.8578813505745733E-2</v>
      </c>
      <c r="G73" s="90">
        <f>IFERROR(G58/G52,"a.d.")</f>
        <v>-0.70581426409046377</v>
      </c>
      <c r="H73" s="90">
        <f>IFERROR(H58/H52,"a.d.")</f>
        <v>-0.10355937404111693</v>
      </c>
      <c r="I73" s="90">
        <f>IFERROR(I58/I52,"a.d.")</f>
        <v>-8.736451148336237E-2</v>
      </c>
      <c r="J73" s="90">
        <f>IFERROR(J58/J52,"a.d.")</f>
        <v>-0.14009242780012862</v>
      </c>
      <c r="K73" s="90">
        <f>IFERROR(K58/K52,"a.d.")</f>
        <v>-2.1679345758843667</v>
      </c>
      <c r="L73" s="90">
        <f>IFERROR(L58/L52,"a.d.")</f>
        <v>-0.34760415234428715</v>
      </c>
      <c r="M73" s="90">
        <f>IFERROR(M58/M52,"a.d.")</f>
        <v>-0.24193194693176423</v>
      </c>
      <c r="N73" s="90">
        <f>IFERROR(N58/N52,"a.d.")</f>
        <v>-0.26120458849393785</v>
      </c>
      <c r="O73" s="90">
        <f>IFERROR(O58/O52,"a.d.")</f>
        <v>4.8702089319631811E-2</v>
      </c>
      <c r="P73" s="90">
        <f>IFERROR(P58/P52,"a.d.")</f>
        <v>0.25460517103102365</v>
      </c>
      <c r="Q73" s="90">
        <f>IFERROR(Q58/Q52,"a.d.")</f>
        <v>0.1513515000997544</v>
      </c>
      <c r="R73" s="90">
        <f>IFERROR(R58/R52,"a.d.")</f>
        <v>0.11564626362859333</v>
      </c>
    </row>
    <row r="74" spans="1:18" ht="15" customHeight="1" outlineLevel="1" x14ac:dyDescent="0.2">
      <c r="B74" s="24" t="s">
        <v>199</v>
      </c>
      <c r="C74" s="90">
        <f>IFERROR(C59/C53,"a.d.")</f>
        <v>0.17982066297187072</v>
      </c>
      <c r="D74" s="90">
        <f>IFERROR(D59/D53,"a.d.")</f>
        <v>0.25642617658015648</v>
      </c>
      <c r="E74" s="90">
        <f>IFERROR(E59/E53,"a.d.")</f>
        <v>0.24321191180566534</v>
      </c>
      <c r="F74" s="90">
        <f>IFERROR(F59/F53,"a.d.")</f>
        <v>0.27477089620054629</v>
      </c>
      <c r="G74" s="90">
        <f>IFERROR(G59/G53,"a.d.")</f>
        <v>0.25653291812212536</v>
      </c>
      <c r="H74" s="90">
        <f>IFERROR(H59/H53,"a.d.")</f>
        <v>0.35056007192897015</v>
      </c>
      <c r="I74" s="90">
        <f>IFERROR(I59/I53,"a.d.")</f>
        <v>0.37377706114624404</v>
      </c>
      <c r="J74" s="90">
        <f>IFERROR(J59/J53,"a.d.")</f>
        <v>0.36160446195737123</v>
      </c>
      <c r="K74" s="90">
        <f>IFERROR(K59/K53,"a.d.")</f>
        <v>0.33435722989439476</v>
      </c>
      <c r="L74" s="90">
        <f>IFERROR(L59/L53,"a.d.")</f>
        <v>0.31065800235189761</v>
      </c>
      <c r="M74" s="90">
        <f>IFERROR(M59/M53,"a.d.")</f>
        <v>0.28150196996163279</v>
      </c>
      <c r="N74" s="90">
        <f>IFERROR(N59/N53,"a.d.")</f>
        <v>0.30050053787818171</v>
      </c>
      <c r="O74" s="90">
        <f>IFERROR(O59/O53,"a.d.")</f>
        <v>0.26895851926109765</v>
      </c>
      <c r="P74" s="90">
        <f>IFERROR(P59/P53,"a.d.")</f>
        <v>0.25716900910412133</v>
      </c>
      <c r="Q74" s="90">
        <f>IFERROR(Q59/Q53,"a.d.")</f>
        <v>0.24764270410824241</v>
      </c>
      <c r="R74" s="90">
        <f>IFERROR(R59/R53,"a.d.")</f>
        <v>0.23334256331618292</v>
      </c>
    </row>
    <row r="75" spans="1:18" ht="15" customHeight="1" outlineLevel="1" x14ac:dyDescent="0.2">
      <c r="B75" s="24" t="s">
        <v>200</v>
      </c>
      <c r="C75" s="90">
        <f>IFERROR(C60/C54,"a.d.")</f>
        <v>-2.6257338081031665</v>
      </c>
      <c r="D75" s="90">
        <f>IFERROR(D60/D54,"a.d.")</f>
        <v>-2.4810175185985117</v>
      </c>
      <c r="E75" s="90">
        <f>IFERROR(E60/E54,"a.d.")</f>
        <v>-2.1335403726708071</v>
      </c>
      <c r="F75" s="90">
        <f>IFERROR(F60/F54,"a.d.")</f>
        <v>-1.9764597549170071</v>
      </c>
      <c r="G75" s="90">
        <f>IFERROR(G60/G54,"a.d.")</f>
        <v>-1.9128137384412149</v>
      </c>
      <c r="H75" s="90">
        <f>IFERROR(H60/H54,"a.d.")</f>
        <v>-1.943401058562404</v>
      </c>
      <c r="I75" s="90">
        <f>IFERROR(I60/I54,"a.d.")</f>
        <v>-1.6221382591659672</v>
      </c>
      <c r="J75" s="90">
        <f>IFERROR(J60/J54,"a.d.")</f>
        <v>-1.6967374874034264</v>
      </c>
      <c r="K75" s="90">
        <f>IFERROR(K60/K54,"a.d.")</f>
        <v>-0.99642576933135718</v>
      </c>
      <c r="L75" s="90">
        <f>IFERROR(L60/L54,"a.d.")</f>
        <v>-3.8101405112578295</v>
      </c>
      <c r="M75" s="90">
        <f>IFERROR(M60/M54,"a.d.")</f>
        <v>-1.4290200270590789</v>
      </c>
      <c r="N75" s="90">
        <f>IFERROR(N60/N54,"a.d.")</f>
        <v>-1.5355569540591567</v>
      </c>
      <c r="O75" s="90">
        <f>IFERROR(O60/O54,"a.d.")</f>
        <v>-0.4957187922487607</v>
      </c>
      <c r="P75" s="90">
        <f>IFERROR(P60/P54,"a.d.")</f>
        <v>-0.53987831973255263</v>
      </c>
      <c r="Q75" s="90">
        <f>IFERROR(Q60/Q54,"a.d.")</f>
        <v>-0.56665837410509445</v>
      </c>
      <c r="R75" s="90">
        <f>IFERROR(R60/R54,"a.d.")</f>
        <v>-0.55874665025600101</v>
      </c>
    </row>
    <row r="76" spans="1:18" ht="15" customHeight="1" outlineLevel="1" x14ac:dyDescent="0.2">
      <c r="B76" s="43" t="s">
        <v>216</v>
      </c>
      <c r="C76" s="91">
        <f>IFERROR(C61/C55,"a.d.")</f>
        <v>0.20548022246646194</v>
      </c>
      <c r="D76" s="91">
        <f>IFERROR(D61/D55,"a.d.")</f>
        <v>0.16823713986821148</v>
      </c>
      <c r="E76" s="91">
        <f>IFERROR(E61/E55,"a.d.")</f>
        <v>0.15926533275086824</v>
      </c>
      <c r="F76" s="91">
        <f>IFERROR(F61/F55,"a.d.")</f>
        <v>0.13154841004333659</v>
      </c>
      <c r="G76" s="91">
        <f>IFERROR(G61/G55,"a.d.")</f>
        <v>4.0915438426970756E-2</v>
      </c>
      <c r="H76" s="91">
        <f>IFERROR(H61/H55,"a.d.")</f>
        <v>6.1417726769156883E-2</v>
      </c>
      <c r="I76" s="91">
        <f>IFERROR(I61/I55,"a.d.")</f>
        <v>4.5003169489590364E-2</v>
      </c>
      <c r="J76" s="91">
        <f>IFERROR(J61/J55,"a.d.")</f>
        <v>3.9110029268241107E-2</v>
      </c>
      <c r="K76" s="91">
        <f>IFERROR(K61/K55,"a.d.")</f>
        <v>0.13616029795881437</v>
      </c>
      <c r="L76" s="91">
        <f>IFERROR(L61/L55,"a.d.")</f>
        <v>0.11137200328449265</v>
      </c>
      <c r="M76" s="91">
        <f>IFERROR(M61/M55,"a.d.")</f>
        <v>0.11039696983335609</v>
      </c>
      <c r="N76" s="91">
        <f>IFERROR(N61/N55,"a.d.")</f>
        <v>4.487464932434064E-2</v>
      </c>
      <c r="O76" s="91">
        <f>IFERROR(O61/O55,"a.d.")</f>
        <v>2.3981150438099747E-2</v>
      </c>
      <c r="P76" s="91">
        <f>IFERROR(P61/P55,"a.d.")</f>
        <v>9.734403907428206E-2</v>
      </c>
      <c r="Q76" s="91">
        <f>IFERROR(Q61/Q55,"a.d.")</f>
        <v>9.2845211338558831E-2</v>
      </c>
      <c r="R76" s="91">
        <f>IFERROR(R61/R55,"a.d.")</f>
        <v>0.11118196015607747</v>
      </c>
    </row>
    <row r="77" spans="1:18" ht="15" customHeight="1" outlineLevel="1" x14ac:dyDescent="0.2">
      <c r="B77" s="42" t="s">
        <v>196</v>
      </c>
      <c r="C77" s="90">
        <f>IFERROR(C62/C50,"a.d.")</f>
        <v>0.19052346741408055</v>
      </c>
      <c r="D77" s="90">
        <f>IFERROR(D62/D50,"a.d.")</f>
        <v>0.14446191663652519</v>
      </c>
      <c r="E77" s="90">
        <f>IFERROR(E62/E50,"a.d.")</f>
        <v>0.12979468481353224</v>
      </c>
      <c r="F77" s="90">
        <f>IFERROR(F62/F50,"a.d.")</f>
        <v>9.401125056388511E-2</v>
      </c>
      <c r="G77" s="90">
        <f>IFERROR(G62/G50,"a.d.")</f>
        <v>-5.0548881170961422E-2</v>
      </c>
      <c r="H77" s="90">
        <f>IFERROR(H62/H50,"a.d.")</f>
        <v>-2.9859821631478881E-2</v>
      </c>
      <c r="I77" s="90">
        <f>IFERROR(I62/I50,"a.d.")</f>
        <v>-7.4743237061281942E-2</v>
      </c>
      <c r="J77" s="90">
        <f>IFERROR(J62/J50,"a.d.")</f>
        <v>-9.3795475685074958E-2</v>
      </c>
      <c r="K77" s="90">
        <f>IFERROR(K62/K50,"a.d.")</f>
        <v>5.5685150260645277E-3</v>
      </c>
      <c r="L77" s="90">
        <f>IFERROR(L62/L50,"a.d.")</f>
        <v>-1.264026799373311E-2</v>
      </c>
      <c r="M77" s="90">
        <f>IFERROR(M62/M50,"a.d.")</f>
        <v>-2.202167176034212E-3</v>
      </c>
      <c r="N77" s="90">
        <f>IFERROR(N62/N50,"a.d.")</f>
        <v>-0.20483002835280248</v>
      </c>
      <c r="O77" s="90">
        <f>IFERROR(O62/O50,"a.d.")</f>
        <v>-0.32651460073273503</v>
      </c>
      <c r="P77" s="90">
        <f>IFERROR(P62/P50,"a.d.")</f>
        <v>-8.7468580453250344E-2</v>
      </c>
      <c r="Q77" s="90">
        <f>IFERROR(Q62/Q50,"a.d.")</f>
        <v>-9.3791350303763718E-2</v>
      </c>
      <c r="R77" s="90">
        <f>IFERROR(R62/R50,"a.d.")</f>
        <v>4.91073595291407E-3</v>
      </c>
    </row>
    <row r="78" spans="1:18" ht="15" customHeight="1" outlineLevel="1" x14ac:dyDescent="0.2">
      <c r="B78" s="24" t="s">
        <v>197</v>
      </c>
      <c r="C78" s="90">
        <f>IFERROR(C63/C51,"a.d.")</f>
        <v>9.0233048116381484E-2</v>
      </c>
      <c r="D78" s="90">
        <f>IFERROR(D63/D51,"a.d.")</f>
        <v>0.11444621959674342</v>
      </c>
      <c r="E78" s="90">
        <f>IFERROR(E63/E51,"a.d.")</f>
        <v>0.11126747189304162</v>
      </c>
      <c r="F78" s="90">
        <f>IFERROR(F63/F51,"a.d.")</f>
        <v>9.4016532404961634E-2</v>
      </c>
      <c r="G78" s="90">
        <f>IFERROR(G63/G51,"a.d.")</f>
        <v>8.0146103546537076E-2</v>
      </c>
      <c r="H78" s="90">
        <f>IFERROR(H63/H51,"a.d.")</f>
        <v>7.576558456654918E-2</v>
      </c>
      <c r="I78" s="90">
        <f>IFERROR(I63/I51,"a.d.")</f>
        <v>9.2068003888310643E-2</v>
      </c>
      <c r="J78" s="90">
        <f>IFERROR(J63/J51,"a.d.")</f>
        <v>0.11589309860288846</v>
      </c>
      <c r="K78" s="90">
        <f>IFERROR(K63/K51,"a.d.")</f>
        <v>0.19885781508599062</v>
      </c>
      <c r="L78" s="90">
        <f>IFERROR(L63/L51,"a.d.")</f>
        <v>0.17327356877112496</v>
      </c>
      <c r="M78" s="90">
        <f>IFERROR(M63/M51,"a.d.")</f>
        <v>0.18549207062720574</v>
      </c>
      <c r="N78" s="90">
        <f>IFERROR(N63/N51,"a.d.")</f>
        <v>0.23131465251134981</v>
      </c>
      <c r="O78" s="90">
        <f>IFERROR(O63/O51,"a.d.")</f>
        <v>0.10936520474023217</v>
      </c>
      <c r="P78" s="90">
        <f>IFERROR(P63/P51,"a.d.")</f>
        <v>0.10382199753335043</v>
      </c>
      <c r="Q78" s="90">
        <f>IFERROR(Q63/Q51,"a.d.")</f>
        <v>0.11752810357623264</v>
      </c>
      <c r="R78" s="90">
        <f>IFERROR(R63/R51,"a.d.")</f>
        <v>0.13125300851615679</v>
      </c>
    </row>
    <row r="79" spans="1:18" ht="15" customHeight="1" outlineLevel="1" x14ac:dyDescent="0.2">
      <c r="B79" s="24" t="s">
        <v>198</v>
      </c>
      <c r="C79" s="90">
        <f>IFERROR(C64/C52,"a.d.")</f>
        <v>-0.52449500812630589</v>
      </c>
      <c r="D79" s="90">
        <f>IFERROR(D64/D52,"a.d.")</f>
        <v>-3.3877647468503989E-2</v>
      </c>
      <c r="E79" s="90">
        <f>IFERROR(E64/E52,"a.d.")</f>
        <v>-7.1768405222503259E-2</v>
      </c>
      <c r="F79" s="90">
        <f>IFERROR(F64/F52,"a.d.")</f>
        <v>-9.44361501913622E-2</v>
      </c>
      <c r="G79" s="90">
        <f>IFERROR(G64/G52,"a.d.")</f>
        <v>-1.3249042827887099</v>
      </c>
      <c r="H79" s="90">
        <f>IFERROR(H64/H52,"a.d.")</f>
        <v>-0.31867307626743036</v>
      </c>
      <c r="I79" s="90">
        <f>IFERROR(I64/I52,"a.d.")</f>
        <v>-0.27890548017888273</v>
      </c>
      <c r="J79" s="90">
        <f>IFERROR(J64/J52,"a.d.")</f>
        <v>-0.32983862524864277</v>
      </c>
      <c r="K79" s="90">
        <f>IFERROR(K64/K52,"a.d.")</f>
        <v>-5.7672118676302784</v>
      </c>
      <c r="L79" s="90">
        <f>IFERROR(L64/L52,"a.d.")</f>
        <v>-0.9124157844080848</v>
      </c>
      <c r="M79" s="90">
        <f>IFERROR(M64/M52,"a.d.")</f>
        <v>-0.6478381638098023</v>
      </c>
      <c r="N79" s="90">
        <f>IFERROR(N64/N52,"a.d.")</f>
        <v>-0.61749308896192945</v>
      </c>
      <c r="O79" s="90">
        <f>IFERROR(O64/O52,"a.d.")</f>
        <v>-0.97170408610529391</v>
      </c>
      <c r="P79" s="90">
        <f>IFERROR(P64/P52,"a.d.")</f>
        <v>2.4442096418978271E-3</v>
      </c>
      <c r="Q79" s="90">
        <f>IFERROR(Q64/Q52,"a.d.")</f>
        <v>-9.8591743087708184E-2</v>
      </c>
      <c r="R79" s="90">
        <f>IFERROR(R64/R52,"a.d.")</f>
        <v>-6.0267360199440907E-2</v>
      </c>
    </row>
    <row r="80" spans="1:18" ht="15" customHeight="1" outlineLevel="1" x14ac:dyDescent="0.2">
      <c r="B80" s="24" t="s">
        <v>199</v>
      </c>
      <c r="C80" s="90">
        <f>IFERROR(C65/C53,"a.d.")</f>
        <v>0.1676513646345289</v>
      </c>
      <c r="D80" s="90">
        <f>IFERROR(D65/D53,"a.d.")</f>
        <v>0.21263109174446562</v>
      </c>
      <c r="E80" s="90">
        <f>IFERROR(E65/E53,"a.d.")</f>
        <v>0.19083805695445</v>
      </c>
      <c r="F80" s="90">
        <f>IFERROR(F65/F53,"a.d.")</f>
        <v>0.21065627409265886</v>
      </c>
      <c r="G80" s="90">
        <f>IFERROR(G65/G53,"a.d.")</f>
        <v>0.18483727886417883</v>
      </c>
      <c r="H80" s="90">
        <f>IFERROR(H65/H53,"a.d.")</f>
        <v>0.2559472520885625</v>
      </c>
      <c r="I80" s="90">
        <f>IFERROR(I65/I53,"a.d.")</f>
        <v>0.28983057004809321</v>
      </c>
      <c r="J80" s="90">
        <f>IFERROR(J65/J53,"a.d.")</f>
        <v>0.27089485937101537</v>
      </c>
      <c r="K80" s="90">
        <f>IFERROR(K65/K53,"a.d.")</f>
        <v>0.27100257243433523</v>
      </c>
      <c r="L80" s="90">
        <f>IFERROR(L65/L53,"a.d.")</f>
        <v>0.21862068123649595</v>
      </c>
      <c r="M80" s="90">
        <f>IFERROR(M65/M53,"a.d.")</f>
        <v>0.19356969432697493</v>
      </c>
      <c r="N80" s="90">
        <f>IFERROR(N65/N53,"a.d.")</f>
        <v>0.2362627690502227</v>
      </c>
      <c r="O80" s="90">
        <f>IFERROR(O65/O53,"a.d.")</f>
        <v>0.24334633299509764</v>
      </c>
      <c r="P80" s="90">
        <f>IFERROR(P65/P53,"a.d.")</f>
        <v>0.22550338295680067</v>
      </c>
      <c r="Q80" s="90">
        <f>IFERROR(Q65/Q53,"a.d.")</f>
        <v>0.22527418925155626</v>
      </c>
      <c r="R80" s="90">
        <f>IFERROR(R65/R53,"a.d.")</f>
        <v>0.24201028360038637</v>
      </c>
    </row>
    <row r="81" spans="1:18" ht="15" customHeight="1" outlineLevel="1" x14ac:dyDescent="0.2">
      <c r="B81" s="24" t="s">
        <v>200</v>
      </c>
      <c r="C81" s="90">
        <f>IFERROR(C66/C54,"a.d.")</f>
        <v>2.9998075257434316</v>
      </c>
      <c r="D81" s="90">
        <f>IFERROR(D66/D54,"a.d.")</f>
        <v>2.2374370050395966</v>
      </c>
      <c r="E81" s="90">
        <f>IFERROR(E66/E54,"a.d.")</f>
        <v>1.1479591836734693</v>
      </c>
      <c r="F81" s="90">
        <f>IFERROR(F66/F54,"a.d.")</f>
        <v>0.96016811087762366</v>
      </c>
      <c r="G81" s="90">
        <f>IFERROR(G66/G54,"a.d.")</f>
        <v>3.8932628797886388</v>
      </c>
      <c r="H81" s="90">
        <f>IFERROR(H66/H54,"a.d.")</f>
        <v>3.3553013488133856</v>
      </c>
      <c r="I81" s="90">
        <f>IFERROR(I66/I54,"a.d.")</f>
        <v>5.0910159529806887</v>
      </c>
      <c r="J81" s="90">
        <f>IFERROR(J66/J54,"a.d.")</f>
        <v>1.7451503191132012</v>
      </c>
      <c r="K81" s="90">
        <f>IFERROR(K66/K54,"a.d.")</f>
        <v>7.4670037485833829</v>
      </c>
      <c r="L81" s="90">
        <f>IFERROR(L66/L54,"a.d.")</f>
        <v>10.182749280514646</v>
      </c>
      <c r="M81" s="90">
        <f>IFERROR(M66/M54,"a.d.")</f>
        <v>6.2855902052815313</v>
      </c>
      <c r="N81" s="90">
        <f>IFERROR(N66/N54,"a.d.")</f>
        <v>10.366507237256135</v>
      </c>
      <c r="O81" s="90">
        <f>IFERROR(O66/O54,"a.d.")</f>
        <v>16.572825597115816</v>
      </c>
      <c r="P81" s="90">
        <f>IFERROR(P66/P54,"a.d.")</f>
        <v>12.541539483793271</v>
      </c>
      <c r="Q81" s="90">
        <f>IFERROR(Q66/Q54,"a.d.")</f>
        <v>11.468999640655666</v>
      </c>
      <c r="R81" s="90">
        <f>IFERROR(R66/R54,"a.d.")</f>
        <v>6.2482778152321732</v>
      </c>
    </row>
    <row r="82" spans="1:18" ht="15" customHeight="1" outlineLevel="1" x14ac:dyDescent="0.2">
      <c r="A82" s="55" t="s">
        <v>164</v>
      </c>
      <c r="B82" s="43" t="s">
        <v>217</v>
      </c>
      <c r="C82" s="91">
        <f>IFERROR(C67/C55,"a.d.")</f>
        <v>0.17022533950026575</v>
      </c>
      <c r="D82" s="91">
        <f>IFERROR(D67/D55,"a.d.")</f>
        <v>0.14199104417916794</v>
      </c>
      <c r="E82" s="91">
        <f>IFERROR(E67/E55,"a.d.")</f>
        <v>0.12714636824627115</v>
      </c>
      <c r="F82" s="91">
        <f>IFERROR(F67/F55,"a.d.")</f>
        <v>9.6885893473512993E-2</v>
      </c>
      <c r="G82" s="91">
        <f>IFERROR(G67/G55,"a.d.")</f>
        <v>1.5340807560706032E-2</v>
      </c>
      <c r="H82" s="91">
        <f>IFERROR(H67/H55,"a.d.")</f>
        <v>2.4896718457516766E-2</v>
      </c>
      <c r="I82" s="91">
        <f>IFERROR(I67/I55,"a.d.")</f>
        <v>1.5281382365600029E-2</v>
      </c>
      <c r="J82" s="91">
        <f>IFERROR(J67/J55,"a.d.")</f>
        <v>-5.7458883070175566E-3</v>
      </c>
      <c r="K82" s="91">
        <f>IFERROR(K67/K55,"a.d.")</f>
        <v>0.10799846250888057</v>
      </c>
      <c r="L82" s="91">
        <f>IFERROR(L67/L55,"a.d.")</f>
        <v>9.7686841898893789E-2</v>
      </c>
      <c r="M82" s="91">
        <f>IFERROR(M67/M55,"a.d.")</f>
        <v>0.108813721917494</v>
      </c>
      <c r="N82" s="91">
        <f>IFERROR(N67/N55,"a.d.")</f>
        <v>5.11244304987842E-2</v>
      </c>
      <c r="O82" s="91">
        <f>IFERROR(O67/O55,"a.d.")</f>
        <v>1.8703597890111948E-2</v>
      </c>
      <c r="P82" s="91">
        <f>IFERROR(P67/P55,"a.d.")</f>
        <v>8.2043095167995808E-2</v>
      </c>
      <c r="Q82" s="91">
        <f>IFERROR(Q67/Q55,"a.d.")</f>
        <v>8.4586606225219574E-2</v>
      </c>
      <c r="R82" s="91">
        <f>IFERROR(R67/R55,"a.d.")</f>
        <v>0.11244081568211467</v>
      </c>
    </row>
    <row r="83" spans="1:18" ht="15" customHeight="1" x14ac:dyDescent="0.2">
      <c r="B83" s="52"/>
      <c r="C83" s="13"/>
      <c r="D83" s="13"/>
      <c r="E83" s="13"/>
      <c r="F83" s="13"/>
    </row>
    <row r="84" spans="1:18" ht="15" customHeight="1" x14ac:dyDescent="0.2">
      <c r="B84" s="52"/>
      <c r="C84" s="13"/>
      <c r="D84" s="13"/>
      <c r="E84" s="13"/>
      <c r="F84" s="13"/>
    </row>
    <row r="85" spans="1:18" ht="20.100000000000001" customHeight="1" outlineLevel="1" x14ac:dyDescent="0.2">
      <c r="B85" s="32" t="s">
        <v>152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outlineLevel="1" x14ac:dyDescent="0.2">
      <c r="B86" s="34" t="s">
        <v>244</v>
      </c>
      <c r="C86" s="35" t="s">
        <v>186</v>
      </c>
      <c r="D86" s="35" t="s">
        <v>188</v>
      </c>
      <c r="E86" s="35" t="s">
        <v>191</v>
      </c>
      <c r="F86" s="35" t="s">
        <v>193</v>
      </c>
      <c r="G86" s="35" t="s">
        <v>195</v>
      </c>
      <c r="H86" s="35" t="s">
        <v>205</v>
      </c>
      <c r="I86" s="35" t="s">
        <v>208</v>
      </c>
      <c r="J86" s="35" t="s">
        <v>212</v>
      </c>
      <c r="K86" s="35" t="s">
        <v>219</v>
      </c>
      <c r="L86" s="35" t="s">
        <v>222</v>
      </c>
      <c r="M86" s="35" t="s">
        <v>224</v>
      </c>
      <c r="N86" s="35" t="s">
        <v>226</v>
      </c>
      <c r="O86" s="35" t="s">
        <v>225</v>
      </c>
      <c r="P86" s="35" t="s">
        <v>227</v>
      </c>
      <c r="Q86" s="35" t="s">
        <v>228</v>
      </c>
      <c r="R86" s="35" t="s">
        <v>236</v>
      </c>
    </row>
    <row r="87" spans="1:18" ht="15" customHeight="1" outlineLevel="1" x14ac:dyDescent="0.2">
      <c r="B87" s="42" t="s">
        <v>196</v>
      </c>
      <c r="C87" s="124">
        <f>C50</f>
        <v>619.97930224318998</v>
      </c>
      <c r="D87" s="103">
        <f>D50-C50</f>
        <v>441.69765560153451</v>
      </c>
      <c r="E87" s="103">
        <f>E50-D50</f>
        <v>397.45950422350347</v>
      </c>
      <c r="F87" s="103">
        <f>F50-E50</f>
        <v>399.11117511614611</v>
      </c>
      <c r="G87" s="124">
        <f>G50</f>
        <v>293.36041758999409</v>
      </c>
      <c r="H87" s="103">
        <f>H50-G50</f>
        <v>264.06338244399285</v>
      </c>
      <c r="I87" s="103">
        <f>I50-H50</f>
        <v>195.62540910485529</v>
      </c>
      <c r="J87" s="103">
        <f>J50-I50</f>
        <v>261.81599918854283</v>
      </c>
      <c r="K87" s="124">
        <f>K50</f>
        <v>284.18244709712422</v>
      </c>
      <c r="L87" s="103">
        <f>L50-K50</f>
        <v>225.3477525394365</v>
      </c>
      <c r="M87" s="103">
        <f>M50-L50</f>
        <v>229.41477490242187</v>
      </c>
      <c r="N87" s="103">
        <f>N50-M50</f>
        <v>186.7216582511976</v>
      </c>
      <c r="O87" s="124">
        <f>O50</f>
        <v>141.05901194314973</v>
      </c>
      <c r="P87" s="103">
        <f>P50-O50</f>
        <v>192.32398442313425</v>
      </c>
      <c r="Q87" s="103">
        <f>Q50-P50</f>
        <v>145.05769912362285</v>
      </c>
      <c r="R87" s="103">
        <f>R50-Q50</f>
        <v>181.08490990426378</v>
      </c>
    </row>
    <row r="88" spans="1:18" ht="15" customHeight="1" outlineLevel="1" x14ac:dyDescent="0.2">
      <c r="B88" s="24" t="s">
        <v>197</v>
      </c>
      <c r="C88" s="130">
        <f t="shared" ref="C88:C91" si="64">C51</f>
        <v>218.42454642078002</v>
      </c>
      <c r="D88" s="104">
        <f t="shared" ref="D88:F91" si="65">D51-C51</f>
        <v>148.35108217149349</v>
      </c>
      <c r="E88" s="104">
        <f t="shared" si="65"/>
        <v>100.54660506884233</v>
      </c>
      <c r="F88" s="104">
        <f t="shared" si="65"/>
        <v>139.15029419895035</v>
      </c>
      <c r="G88" s="130">
        <f t="shared" ref="G88:G91" si="66">G51</f>
        <v>182.9503783588585</v>
      </c>
      <c r="H88" s="104">
        <f t="shared" ref="H88:N91" si="67">H51-G51</f>
        <v>91.485826859661273</v>
      </c>
      <c r="I88" s="104">
        <f t="shared" si="67"/>
        <v>141.39263514965637</v>
      </c>
      <c r="J88" s="104">
        <f t="shared" si="67"/>
        <v>139.30252439750979</v>
      </c>
      <c r="K88" s="130">
        <f t="shared" ref="K88:K91" si="68">K51</f>
        <v>211.70550732501357</v>
      </c>
      <c r="L88" s="104">
        <f t="shared" si="67"/>
        <v>180.2385029427345</v>
      </c>
      <c r="M88" s="104">
        <f t="shared" si="67"/>
        <v>162.37002542711531</v>
      </c>
      <c r="N88" s="104">
        <f t="shared" si="67"/>
        <v>258.71407049662901</v>
      </c>
      <c r="O88" s="130">
        <f t="shared" ref="O88:O91" si="69">O51</f>
        <v>218.57931817039275</v>
      </c>
      <c r="P88" s="104">
        <f t="shared" ref="P88:P91" si="70">P51-O51</f>
        <v>275.7282870152369</v>
      </c>
      <c r="Q88" s="104">
        <f t="shared" ref="Q88:R91" si="71">Q51-P51</f>
        <v>283.97195250498078</v>
      </c>
      <c r="R88" s="104">
        <f t="shared" si="71"/>
        <v>301.65784866059028</v>
      </c>
    </row>
    <row r="89" spans="1:18" ht="15" customHeight="1" outlineLevel="1" x14ac:dyDescent="0.2">
      <c r="B89" s="24" t="s">
        <v>198</v>
      </c>
      <c r="C89" s="131">
        <f t="shared" si="64"/>
        <v>0.80311025750993026</v>
      </c>
      <c r="D89" s="105">
        <f t="shared" si="65"/>
        <v>13.504948891554964</v>
      </c>
      <c r="E89" s="105">
        <f t="shared" si="65"/>
        <v>11.658428834179039</v>
      </c>
      <c r="F89" s="105">
        <f t="shared" si="65"/>
        <v>10.292328492986922</v>
      </c>
      <c r="G89" s="131">
        <f t="shared" si="66"/>
        <v>1.843535070008703</v>
      </c>
      <c r="H89" s="105">
        <f t="shared" si="67"/>
        <v>7.2188925149196939</v>
      </c>
      <c r="I89" s="105">
        <f t="shared" si="67"/>
        <v>10.586972194643316</v>
      </c>
      <c r="J89" s="105">
        <f t="shared" si="67"/>
        <v>8.9922599856851981</v>
      </c>
      <c r="K89" s="131">
        <f t="shared" si="68"/>
        <v>0.7132392837764514</v>
      </c>
      <c r="L89" s="105">
        <f t="shared" si="67"/>
        <v>6.6805568607344714</v>
      </c>
      <c r="M89" s="105">
        <f t="shared" si="67"/>
        <v>6.1331727584405771</v>
      </c>
      <c r="N89" s="105">
        <f t="shared" si="67"/>
        <v>7.2239598773820699</v>
      </c>
      <c r="O89" s="131">
        <f t="shared" si="69"/>
        <v>1.474616318235028</v>
      </c>
      <c r="P89" s="105">
        <f t="shared" si="70"/>
        <v>3.8211034474273671</v>
      </c>
      <c r="Q89" s="105">
        <f t="shared" si="71"/>
        <v>3.8680154034818601</v>
      </c>
      <c r="R89" s="105">
        <f t="shared" si="71"/>
        <v>6.8751079358873977</v>
      </c>
    </row>
    <row r="90" spans="1:18" ht="15" customHeight="1" outlineLevel="1" x14ac:dyDescent="0.2">
      <c r="B90" s="24" t="s">
        <v>199</v>
      </c>
      <c r="C90" s="131">
        <f t="shared" si="64"/>
        <v>14.265416099498422</v>
      </c>
      <c r="D90" s="105">
        <f t="shared" si="65"/>
        <v>17.260466065029931</v>
      </c>
      <c r="E90" s="105">
        <f t="shared" si="65"/>
        <v>15.633406415115832</v>
      </c>
      <c r="F90" s="105">
        <f t="shared" si="65"/>
        <v>19.39611415699018</v>
      </c>
      <c r="G90" s="131">
        <f t="shared" si="66"/>
        <v>16.024195269283197</v>
      </c>
      <c r="H90" s="105">
        <f t="shared" si="67"/>
        <v>16.96525337201696</v>
      </c>
      <c r="I90" s="105">
        <f t="shared" si="67"/>
        <v>20.307593448599015</v>
      </c>
      <c r="J90" s="105">
        <f t="shared" si="67"/>
        <v>16.132663481680432</v>
      </c>
      <c r="K90" s="131">
        <f t="shared" si="68"/>
        <v>16.030385241454152</v>
      </c>
      <c r="L90" s="105">
        <f t="shared" si="67"/>
        <v>15.199711463462318</v>
      </c>
      <c r="M90" s="105">
        <f t="shared" si="67"/>
        <v>16.672582881774595</v>
      </c>
      <c r="N90" s="105">
        <f t="shared" si="67"/>
        <v>15.603875513413946</v>
      </c>
      <c r="O90" s="131">
        <f t="shared" si="69"/>
        <v>17.623219838699249</v>
      </c>
      <c r="P90" s="105">
        <f t="shared" si="70"/>
        <v>22.223004534838672</v>
      </c>
      <c r="Q90" s="105">
        <f t="shared" si="71"/>
        <v>27.36084652457204</v>
      </c>
      <c r="R90" s="105">
        <f t="shared" si="71"/>
        <v>23.453696901203656</v>
      </c>
    </row>
    <row r="91" spans="1:18" ht="15" customHeight="1" outlineLevel="1" x14ac:dyDescent="0.2">
      <c r="B91" s="24" t="s">
        <v>200</v>
      </c>
      <c r="C91" s="131">
        <f t="shared" si="64"/>
        <v>1.937571090268327</v>
      </c>
      <c r="D91" s="105">
        <f t="shared" si="65"/>
        <v>1.7699221922912398</v>
      </c>
      <c r="E91" s="105">
        <f t="shared" si="65"/>
        <v>1.8936995180368217</v>
      </c>
      <c r="F91" s="105">
        <f t="shared" si="65"/>
        <v>1.8668915554482037</v>
      </c>
      <c r="G91" s="131">
        <f t="shared" si="66"/>
        <v>1.8638892992564173</v>
      </c>
      <c r="H91" s="105">
        <f t="shared" si="67"/>
        <v>1.7553966688268821</v>
      </c>
      <c r="I91" s="105">
        <f t="shared" si="67"/>
        <v>1.7022713283928406</v>
      </c>
      <c r="J91" s="105">
        <f t="shared" si="67"/>
        <v>1.4797106590883082</v>
      </c>
      <c r="K91" s="131">
        <f t="shared" si="68"/>
        <v>1.5560227889310907</v>
      </c>
      <c r="L91" s="105">
        <f t="shared" si="67"/>
        <v>1.4465314407970835</v>
      </c>
      <c r="M91" s="105">
        <f t="shared" si="67"/>
        <v>4.3970848665293039</v>
      </c>
      <c r="N91" s="105">
        <f t="shared" si="67"/>
        <v>1.5719837003593904</v>
      </c>
      <c r="O91" s="131">
        <f t="shared" si="69"/>
        <v>1.5936169143152619</v>
      </c>
      <c r="P91" s="105">
        <f t="shared" si="70"/>
        <v>1.6530645389014869</v>
      </c>
      <c r="Q91" s="105">
        <f t="shared" si="71"/>
        <v>1.3147286916559673</v>
      </c>
      <c r="R91" s="105">
        <f t="shared" si="71"/>
        <v>2.222671976061112</v>
      </c>
    </row>
    <row r="92" spans="1:18" ht="15" customHeight="1" outlineLevel="1" x14ac:dyDescent="0.2">
      <c r="B92" s="43" t="s">
        <v>77</v>
      </c>
      <c r="C92" s="102">
        <f>+C55</f>
        <v>855.40994611124665</v>
      </c>
      <c r="D92" s="102">
        <f>+D55-C55</f>
        <v>622.5840749219044</v>
      </c>
      <c r="E92" s="102">
        <f>+E55-D55</f>
        <v>527.1916440596774</v>
      </c>
      <c r="F92" s="102">
        <f>+F55-E55</f>
        <v>569.81680352052172</v>
      </c>
      <c r="G92" s="102">
        <f>+G55</f>
        <v>496.04241558740097</v>
      </c>
      <c r="H92" s="102">
        <f>+H55-G55</f>
        <v>381.48875185941762</v>
      </c>
      <c r="I92" s="102">
        <f>+I55-H55</f>
        <v>369.61488122614685</v>
      </c>
      <c r="J92" s="102">
        <f>+J55-I55</f>
        <v>427.72315771250669</v>
      </c>
      <c r="K92" s="102">
        <f>+K55</f>
        <v>514.18760173629937</v>
      </c>
      <c r="L92" s="102">
        <f>+L55-K55</f>
        <v>428.91305524716495</v>
      </c>
      <c r="M92" s="102">
        <f>+M55-L55</f>
        <v>418.98764083628146</v>
      </c>
      <c r="N92" s="102">
        <f>+N55-M55</f>
        <v>469.83554783898239</v>
      </c>
      <c r="O92" s="102">
        <f>+O55</f>
        <v>380.32978318479195</v>
      </c>
      <c r="P92" s="102">
        <f>+P55-O55</f>
        <v>495.74944395953878</v>
      </c>
      <c r="Q92" s="102">
        <f>+Q55-P55</f>
        <v>461.5732422483137</v>
      </c>
      <c r="R92" s="102">
        <f>+R55-Q55</f>
        <v>515.29423537800585</v>
      </c>
    </row>
    <row r="93" spans="1:18" ht="15" customHeight="1" outlineLevel="1" x14ac:dyDescent="0.2">
      <c r="B93" s="42" t="s">
        <v>196</v>
      </c>
      <c r="C93" s="124">
        <f>C56</f>
        <v>150.77197038915529</v>
      </c>
      <c r="D93" s="103">
        <f>D56-C56</f>
        <v>41.98422656085981</v>
      </c>
      <c r="E93" s="103">
        <f>E56-D56</f>
        <v>57.103045479605555</v>
      </c>
      <c r="F93" s="103">
        <f>F56-E56</f>
        <v>6.066134915562543</v>
      </c>
      <c r="G93" s="124">
        <f>G56</f>
        <v>-7.58851627517606</v>
      </c>
      <c r="H93" s="103">
        <f>H56-G56</f>
        <v>14.498188611460067</v>
      </c>
      <c r="I93" s="103">
        <f>I56-H56</f>
        <v>-31.534199457906908</v>
      </c>
      <c r="J93" s="103">
        <f>J56-I56</f>
        <v>-24.48362034960542</v>
      </c>
      <c r="K93" s="124">
        <f>K56</f>
        <v>14.759495387954424</v>
      </c>
      <c r="L93" s="103">
        <f>L56-K56</f>
        <v>5.14684952201209</v>
      </c>
      <c r="M93" s="103">
        <f>M56-L56</f>
        <v>13.310271493850173</v>
      </c>
      <c r="N93" s="103">
        <f>N56-M56</f>
        <v>-154.38151584711309</v>
      </c>
      <c r="O93" s="124">
        <f>O56</f>
        <v>-33.323039578291187</v>
      </c>
      <c r="P93" s="103">
        <f>P56-O56</f>
        <v>22.266834957606648</v>
      </c>
      <c r="Q93" s="103">
        <f>Q56-P56</f>
        <v>-10.693615706886666</v>
      </c>
      <c r="R93" s="103">
        <f>R56-Q56</f>
        <v>60.018519878056964</v>
      </c>
    </row>
    <row r="94" spans="1:18" ht="15" customHeight="1" outlineLevel="1" x14ac:dyDescent="0.2">
      <c r="B94" s="24" t="s">
        <v>197</v>
      </c>
      <c r="C94" s="130">
        <f t="shared" ref="C94:C97" si="72">C57</f>
        <v>28.04173115292102</v>
      </c>
      <c r="D94" s="104">
        <f t="shared" ref="D94:F97" si="73">D57-C57</f>
        <v>27.988306037676335</v>
      </c>
      <c r="E94" s="104">
        <f t="shared" si="73"/>
        <v>14.122790385816273</v>
      </c>
      <c r="F94" s="104">
        <f t="shared" si="73"/>
        <v>10.530978320045847</v>
      </c>
      <c r="G94" s="130">
        <f t="shared" ref="G94:G97" si="74">G57</f>
        <v>28.640042021634628</v>
      </c>
      <c r="H94" s="104">
        <f t="shared" ref="H94:N97" si="75">H57-G57</f>
        <v>14.753695136759347</v>
      </c>
      <c r="I94" s="104">
        <f t="shared" si="75"/>
        <v>27.784065111422436</v>
      </c>
      <c r="J94" s="104">
        <f t="shared" si="75"/>
        <v>33.880883511375714</v>
      </c>
      <c r="K94" s="130">
        <f t="shared" ref="K94:K97" si="76">K57</f>
        <v>52.989283776451437</v>
      </c>
      <c r="L94" s="104">
        <v>2</v>
      </c>
      <c r="M94" s="104">
        <f t="shared" si="75"/>
        <v>28.078891184248334</v>
      </c>
      <c r="N94" s="104">
        <f t="shared" si="75"/>
        <v>85.968817192031679</v>
      </c>
      <c r="O94" s="130">
        <f t="shared" ref="O94:O97" si="77">O57</f>
        <v>38.42203916893488</v>
      </c>
      <c r="P94" s="104">
        <f t="shared" ref="P94:P97" si="78">P57-O57</f>
        <v>48.072537223371619</v>
      </c>
      <c r="Q94" s="104">
        <f t="shared" ref="Q94:R97" si="79">Q57-P57</f>
        <v>44.004345573120759</v>
      </c>
      <c r="R94" s="104">
        <f t="shared" si="79"/>
        <v>18.027360116838622</v>
      </c>
    </row>
    <row r="95" spans="1:18" ht="15" customHeight="1" outlineLevel="1" x14ac:dyDescent="0.2">
      <c r="B95" s="24" t="s">
        <v>198</v>
      </c>
      <c r="C95" s="131">
        <f t="shared" si="72"/>
        <v>-0.5215461783736417</v>
      </c>
      <c r="D95" s="105">
        <f t="shared" si="73"/>
        <v>1.5030932360457592</v>
      </c>
      <c r="E95" s="105">
        <f t="shared" si="73"/>
        <v>-1.156384645090911</v>
      </c>
      <c r="F95" s="105">
        <f t="shared" si="73"/>
        <v>-1.2239845313567774</v>
      </c>
      <c r="G95" s="131">
        <f t="shared" si="74"/>
        <v>-1.3011933487631544</v>
      </c>
      <c r="H95" s="105">
        <f t="shared" si="75"/>
        <v>0.36269402077501867</v>
      </c>
      <c r="I95" s="105">
        <f t="shared" si="75"/>
        <v>-0.77816088469543532</v>
      </c>
      <c r="J95" s="105">
        <f t="shared" si="75"/>
        <v>-2.2958194400565315</v>
      </c>
      <c r="K95" s="131">
        <f t="shared" si="76"/>
        <v>-1.5462561041779705</v>
      </c>
      <c r="L95" s="105">
        <f t="shared" si="75"/>
        <v>-1.0238581372412072</v>
      </c>
      <c r="M95" s="105">
        <f t="shared" si="75"/>
        <v>-0.70249168135730944</v>
      </c>
      <c r="N95" s="105">
        <f t="shared" si="75"/>
        <v>-2.1476318901575548</v>
      </c>
      <c r="O95" s="131">
        <f t="shared" si="77"/>
        <v>7.1816895642868944E-2</v>
      </c>
      <c r="P95" s="105">
        <f t="shared" si="78"/>
        <v>1.2765007410259777</v>
      </c>
      <c r="Q95" s="105">
        <f t="shared" si="79"/>
        <v>3.8627427698013195E-2</v>
      </c>
      <c r="R95" s="105">
        <f t="shared" si="79"/>
        <v>0.46788721365527719</v>
      </c>
    </row>
    <row r="96" spans="1:18" ht="15" customHeight="1" outlineLevel="1" x14ac:dyDescent="0.2">
      <c r="B96" s="24" t="s">
        <v>199</v>
      </c>
      <c r="C96" s="131">
        <f t="shared" si="72"/>
        <v>2.5652165805814042</v>
      </c>
      <c r="D96" s="105">
        <f t="shared" si="73"/>
        <v>5.5188448461851483</v>
      </c>
      <c r="E96" s="105">
        <f t="shared" si="73"/>
        <v>3.385639308083789</v>
      </c>
      <c r="F96" s="105">
        <f t="shared" si="73"/>
        <v>6.8177869220829734</v>
      </c>
      <c r="G96" s="131">
        <f t="shared" si="74"/>
        <v>4.110733572987975</v>
      </c>
      <c r="H96" s="105">
        <f t="shared" si="75"/>
        <v>7.4540499156032745</v>
      </c>
      <c r="I96" s="105">
        <f t="shared" si="75"/>
        <v>8.3564282715589364</v>
      </c>
      <c r="J96" s="105">
        <f t="shared" si="75"/>
        <v>5.1848795669195553</v>
      </c>
      <c r="K96" s="131">
        <f t="shared" si="76"/>
        <v>5.3598752034725985</v>
      </c>
      <c r="L96" s="105">
        <f t="shared" si="75"/>
        <v>4.3420042521333313</v>
      </c>
      <c r="M96" s="105">
        <f t="shared" si="75"/>
        <v>3.7828192144884998</v>
      </c>
      <c r="N96" s="105">
        <f t="shared" si="75"/>
        <v>5.5990552962775109</v>
      </c>
      <c r="O96" s="131">
        <f t="shared" si="77"/>
        <v>4.7399151124293502</v>
      </c>
      <c r="P96" s="105">
        <f t="shared" si="78"/>
        <v>5.5072989262538838</v>
      </c>
      <c r="Q96" s="105">
        <f t="shared" si="79"/>
        <v>6.3961267337190808</v>
      </c>
      <c r="R96" s="105">
        <f t="shared" si="79"/>
        <v>4.5116751781027808</v>
      </c>
    </row>
    <row r="97" spans="1:18" ht="15" customHeight="1" outlineLevel="1" x14ac:dyDescent="0.2">
      <c r="B97" s="24" t="s">
        <v>200</v>
      </c>
      <c r="C97" s="131">
        <f t="shared" si="72"/>
        <v>-5.0875459173208579</v>
      </c>
      <c r="D97" s="105">
        <f t="shared" si="73"/>
        <v>-4.11080986679573</v>
      </c>
      <c r="E97" s="105">
        <f t="shared" si="73"/>
        <v>-2.7520151910688728</v>
      </c>
      <c r="F97" s="105">
        <f t="shared" si="73"/>
        <v>-2.809997200861968</v>
      </c>
      <c r="G97" s="131">
        <f t="shared" si="74"/>
        <v>-3.5652730585512442</v>
      </c>
      <c r="H97" s="105">
        <f t="shared" si="75"/>
        <v>-3.4684511230618948</v>
      </c>
      <c r="I97" s="105">
        <f t="shared" si="75"/>
        <v>-1.5985775073446176</v>
      </c>
      <c r="J97" s="105">
        <f t="shared" si="75"/>
        <v>-2.9076646131241048</v>
      </c>
      <c r="K97" s="131">
        <f t="shared" si="76"/>
        <v>-1.5504612045577861</v>
      </c>
      <c r="L97" s="105">
        <f t="shared" si="75"/>
        <v>-9.8896923033780784</v>
      </c>
      <c r="M97" s="105">
        <f t="shared" si="75"/>
        <v>0.86592104637458434</v>
      </c>
      <c r="N97" s="105">
        <f t="shared" si="75"/>
        <v>-3.2022053129794106</v>
      </c>
      <c r="O97" s="131">
        <f t="shared" si="77"/>
        <v>-0.78998585207155836</v>
      </c>
      <c r="P97" s="105">
        <f t="shared" si="78"/>
        <v>-0.96282707559794201</v>
      </c>
      <c r="Q97" s="105">
        <f t="shared" si="79"/>
        <v>-0.83194832865055623</v>
      </c>
      <c r="R97" s="105">
        <f t="shared" si="79"/>
        <v>-1.2058219038133462</v>
      </c>
    </row>
    <row r="98" spans="1:18" ht="15" customHeight="1" outlineLevel="1" x14ac:dyDescent="0.2">
      <c r="B98" s="43" t="s">
        <v>78</v>
      </c>
      <c r="C98" s="102">
        <f>+C61</f>
        <v>175.76982602696319</v>
      </c>
      <c r="D98" s="102">
        <f>+D61-C61</f>
        <v>72.883660813971346</v>
      </c>
      <c r="E98" s="102">
        <f>+E61-D61</f>
        <v>70.703075337345808</v>
      </c>
      <c r="F98" s="102">
        <f>+F61-E61</f>
        <v>19.380918425472601</v>
      </c>
      <c r="G98" s="102">
        <f>+G61</f>
        <v>20.295792912132143</v>
      </c>
      <c r="H98" s="102">
        <f>+H61-G61</f>
        <v>33.600176561535818</v>
      </c>
      <c r="I98" s="102">
        <f>+I61-H61</f>
        <v>2.2295555330344143</v>
      </c>
      <c r="J98" s="102">
        <f>+J61-I61</f>
        <v>9.3786586755092003</v>
      </c>
      <c r="K98" s="102">
        <f>+K61</f>
        <v>70.011937059142696</v>
      </c>
      <c r="L98" s="102">
        <f>+L61-K61</f>
        <v>35.023072408026863</v>
      </c>
      <c r="M98" s="102">
        <f>+M61-L61</f>
        <v>45.335411257604264</v>
      </c>
      <c r="N98" s="102">
        <f>+N61-M61</f>
        <v>-68.163480561940872</v>
      </c>
      <c r="O98" s="102">
        <f>+O61</f>
        <v>9.1207457466443547</v>
      </c>
      <c r="P98" s="102">
        <f>+P61-O61</f>
        <v>76.160344772660196</v>
      </c>
      <c r="Q98" s="102">
        <f>+Q61-P61</f>
        <v>38.913535699000619</v>
      </c>
      <c r="R98" s="102">
        <f>+R61-Q61</f>
        <v>81.819620482840307</v>
      </c>
    </row>
    <row r="99" spans="1:18" ht="15" customHeight="1" outlineLevel="1" x14ac:dyDescent="0.2">
      <c r="B99" s="42" t="s">
        <v>196</v>
      </c>
      <c r="C99" s="124">
        <f>C62</f>
        <v>118.12060638833481</v>
      </c>
      <c r="D99" s="103">
        <f>D62-C62</f>
        <v>35.251281790749459</v>
      </c>
      <c r="E99" s="103">
        <f>E62-D62</f>
        <v>36.016269014993895</v>
      </c>
      <c r="F99" s="103">
        <f>F62-E62</f>
        <v>-14.691972964990498</v>
      </c>
      <c r="G99" s="124">
        <f>G62</f>
        <v>-14.829040889020233</v>
      </c>
      <c r="H99" s="103">
        <f>H62-G62</f>
        <v>-1.8155343531357691</v>
      </c>
      <c r="I99" s="103">
        <f>I62-H62</f>
        <v>-39.640760315319362</v>
      </c>
      <c r="J99" s="103">
        <f>J62-I62</f>
        <v>-38.904429413824417</v>
      </c>
      <c r="K99" s="124">
        <f>K62</f>
        <v>1.5824742268041239</v>
      </c>
      <c r="L99" s="103">
        <f>L62-K62</f>
        <v>-8.023072501110585</v>
      </c>
      <c r="M99" s="103">
        <f>M62-L62</f>
        <v>4.8133179064812763</v>
      </c>
      <c r="N99" s="103">
        <f>N62-M62</f>
        <v>-187.97704227183061</v>
      </c>
      <c r="O99" s="124">
        <f>O62</f>
        <v>-46.057826964371635</v>
      </c>
      <c r="P99" s="103">
        <f>P62-O62</f>
        <v>16.897289524961657</v>
      </c>
      <c r="Q99" s="103">
        <f>Q62-P62</f>
        <v>-15.713061430860222</v>
      </c>
      <c r="R99" s="103">
        <f>R62-Q62</f>
        <v>48.112354972546768</v>
      </c>
    </row>
    <row r="100" spans="1:18" ht="15" customHeight="1" outlineLevel="1" x14ac:dyDescent="0.2">
      <c r="B100" s="24" t="s">
        <v>197</v>
      </c>
      <c r="C100" s="130">
        <f t="shared" ref="C100:C103" si="80">C63</f>
        <v>19.709112606985045</v>
      </c>
      <c r="D100" s="104">
        <f t="shared" ref="D100:F103" si="81">D63-C63</f>
        <v>22.266971525619894</v>
      </c>
      <c r="E100" s="104">
        <f t="shared" si="81"/>
        <v>10.021679366276693</v>
      </c>
      <c r="F100" s="104">
        <f t="shared" si="81"/>
        <v>5.0206805693932779</v>
      </c>
      <c r="G100" s="130">
        <f t="shared" ref="G100:G103" si="82">G63</f>
        <v>14.66275996782721</v>
      </c>
      <c r="H100" s="104">
        <f t="shared" ref="H100:N103" si="83">H63-G63</f>
        <v>6.1300595467793961</v>
      </c>
      <c r="I100" s="104">
        <f t="shared" si="83"/>
        <v>17.49171177728234</v>
      </c>
      <c r="J100" s="104">
        <f t="shared" si="83"/>
        <v>26.051362702456736</v>
      </c>
      <c r="K100" s="130">
        <f t="shared" ref="K100:K103" si="84">K63</f>
        <v>42.099294628323385</v>
      </c>
      <c r="L100" s="104">
        <f t="shared" si="83"/>
        <v>25.81424278923577</v>
      </c>
      <c r="M100" s="104">
        <f t="shared" si="83"/>
        <v>34.907320841203884</v>
      </c>
      <c r="N100" s="104">
        <f t="shared" si="83"/>
        <v>85.244455606882823</v>
      </c>
      <c r="O100" s="130">
        <f t="shared" ref="O100:O103" si="85">O63</f>
        <v>23.904971883685356</v>
      </c>
      <c r="P100" s="104">
        <f t="shared" ref="P100:P103" si="86">P63-O63</f>
        <v>27.415031082613446</v>
      </c>
      <c r="Q100" s="104">
        <f t="shared" ref="Q100:R103" si="87">Q63-P63</f>
        <v>40.149717501227784</v>
      </c>
      <c r="R100" s="104">
        <f t="shared" si="87"/>
        <v>50.275313125203823</v>
      </c>
    </row>
    <row r="101" spans="1:18" ht="15" customHeight="1" outlineLevel="1" x14ac:dyDescent="0.2">
      <c r="B101" s="24" t="s">
        <v>198</v>
      </c>
      <c r="C101" s="131">
        <f t="shared" si="80"/>
        <v>-0.42122732103899052</v>
      </c>
      <c r="D101" s="105">
        <f t="shared" si="81"/>
        <v>-6.3496062771533135E-2</v>
      </c>
      <c r="E101" s="105">
        <f t="shared" si="81"/>
        <v>-1.3788500479761883</v>
      </c>
      <c r="F101" s="105">
        <f t="shared" si="81"/>
        <v>-1.5605696067236634</v>
      </c>
      <c r="G101" s="131">
        <f t="shared" si="82"/>
        <v>-2.4425075097257145</v>
      </c>
      <c r="H101" s="105">
        <f t="shared" si="83"/>
        <v>-0.4454441672142373</v>
      </c>
      <c r="I101" s="105">
        <f t="shared" si="83"/>
        <v>-2.5923736038083294</v>
      </c>
      <c r="J101" s="105">
        <f t="shared" si="83"/>
        <v>-3.9668004010634226</v>
      </c>
      <c r="K101" s="131">
        <f t="shared" si="84"/>
        <v>-4.1134020618556706</v>
      </c>
      <c r="L101" s="105">
        <f t="shared" si="83"/>
        <v>-2.6328142470917362</v>
      </c>
      <c r="M101" s="105">
        <f t="shared" si="83"/>
        <v>-2.0170703870529891</v>
      </c>
      <c r="N101" s="105">
        <f t="shared" si="83"/>
        <v>-4.0502684153967827</v>
      </c>
      <c r="O101" s="131">
        <f t="shared" si="85"/>
        <v>-1.4328907018665211</v>
      </c>
      <c r="P101" s="105">
        <f t="shared" si="86"/>
        <v>1.445834551178542</v>
      </c>
      <c r="Q101" s="105">
        <f t="shared" si="87"/>
        <v>-0.91641247283208749</v>
      </c>
      <c r="R101" s="105">
        <f t="shared" si="87"/>
        <v>-6.3150111073195347E-2</v>
      </c>
    </row>
    <row r="102" spans="1:18" ht="15" customHeight="1" outlineLevel="1" x14ac:dyDescent="0.2">
      <c r="B102" s="24" t="s">
        <v>199</v>
      </c>
      <c r="C102" s="131">
        <f t="shared" si="80"/>
        <v>2.3916164761602889</v>
      </c>
      <c r="D102" s="105">
        <f t="shared" si="81"/>
        <v>4.3117662666907517</v>
      </c>
      <c r="E102" s="105">
        <f t="shared" si="81"/>
        <v>2.2964042570424397</v>
      </c>
      <c r="F102" s="105">
        <f t="shared" si="81"/>
        <v>5.020526161342266</v>
      </c>
      <c r="G102" s="131">
        <f t="shared" si="82"/>
        <v>2.9618686495625535</v>
      </c>
      <c r="H102" s="105">
        <f t="shared" si="83"/>
        <v>5.4816900780949833</v>
      </c>
      <c r="I102" s="105">
        <f t="shared" si="83"/>
        <v>7.0035533631351576</v>
      </c>
      <c r="J102" s="105">
        <f t="shared" si="83"/>
        <v>3.361038236191364</v>
      </c>
      <c r="K102" s="131">
        <f t="shared" si="84"/>
        <v>4.3442756375474776</v>
      </c>
      <c r="L102" s="105">
        <f t="shared" si="83"/>
        <v>2.4832693791630085</v>
      </c>
      <c r="M102" s="105">
        <f t="shared" si="83"/>
        <v>2.4449620283283249</v>
      </c>
      <c r="N102" s="105">
        <f t="shared" si="83"/>
        <v>5.7317275157525422</v>
      </c>
      <c r="O102" s="131">
        <f t="shared" si="85"/>
        <v>4.2885459233139187</v>
      </c>
      <c r="P102" s="105">
        <f t="shared" si="86"/>
        <v>4.696912470974608</v>
      </c>
      <c r="Q102" s="105">
        <f t="shared" si="87"/>
        <v>6.1545600142550558</v>
      </c>
      <c r="R102" s="105">
        <f t="shared" si="87"/>
        <v>6.8008197179970828</v>
      </c>
    </row>
    <row r="103" spans="1:18" ht="15" customHeight="1" outlineLevel="1" x14ac:dyDescent="0.2">
      <c r="B103" s="24" t="s">
        <v>200</v>
      </c>
      <c r="C103" s="131">
        <f t="shared" si="80"/>
        <v>5.8123403382498333</v>
      </c>
      <c r="D103" s="105">
        <f t="shared" si="81"/>
        <v>2.4829423280846674</v>
      </c>
      <c r="E103" s="105">
        <f t="shared" si="81"/>
        <v>-1.8653419513641571</v>
      </c>
      <c r="F103" s="105">
        <f t="shared" si="81"/>
        <v>0.74067573304772694</v>
      </c>
      <c r="G103" s="131">
        <f t="shared" si="82"/>
        <v>7.2566110208302677</v>
      </c>
      <c r="H103" s="105">
        <f t="shared" si="83"/>
        <v>4.8871840696209867</v>
      </c>
      <c r="I103" s="105">
        <f t="shared" si="83"/>
        <v>14.948338000609558</v>
      </c>
      <c r="J103" s="105">
        <f t="shared" si="83"/>
        <v>-15.222898148033126</v>
      </c>
      <c r="K103" s="131">
        <f t="shared" si="84"/>
        <v>11.618827997829625</v>
      </c>
      <c r="L103" s="105">
        <f t="shared" si="83"/>
        <v>18.955428924641147</v>
      </c>
      <c r="M103" s="105">
        <f t="shared" si="83"/>
        <v>15.936842103583519</v>
      </c>
      <c r="N103" s="105">
        <f t="shared" si="83"/>
        <v>46.493293625006608</v>
      </c>
      <c r="O103" s="131">
        <f t="shared" si="85"/>
        <v>26.410735189560693</v>
      </c>
      <c r="P103" s="105">
        <f t="shared" si="86"/>
        <v>14.307648447256472</v>
      </c>
      <c r="Q103" s="105">
        <f t="shared" si="87"/>
        <v>11.596427675611125</v>
      </c>
      <c r="R103" s="105">
        <f t="shared" si="87"/>
        <v>-9.925981499484223</v>
      </c>
    </row>
    <row r="104" spans="1:18" ht="15" customHeight="1" outlineLevel="1" x14ac:dyDescent="0.2">
      <c r="A104" s="55" t="s">
        <v>164</v>
      </c>
      <c r="B104" s="43" t="s">
        <v>79</v>
      </c>
      <c r="C104" s="102">
        <f>+C67</f>
        <v>145.612448488691</v>
      </c>
      <c r="D104" s="102">
        <f>+D67-C67</f>
        <v>64.249465848373205</v>
      </c>
      <c r="E104" s="102">
        <f>+E67-D67</f>
        <v>45.090160638972691</v>
      </c>
      <c r="F104" s="102">
        <f>+F67-E67</f>
        <v>-5.4706601079308825</v>
      </c>
      <c r="G104" s="102">
        <f>+G67</f>
        <v>7.6096912394740839</v>
      </c>
      <c r="H104" s="102">
        <f>+H67-G67</f>
        <v>14.237955174145359</v>
      </c>
      <c r="I104" s="102">
        <f>+I67-H67</f>
        <v>-2.7895307781006338</v>
      </c>
      <c r="J104" s="102">
        <f>+J67-I67</f>
        <v>-28.681727024272867</v>
      </c>
      <c r="K104" s="102">
        <f>+K67</f>
        <v>55.531470428648937</v>
      </c>
      <c r="L104" s="102">
        <f>+L67-K67</f>
        <v>36.597054344837609</v>
      </c>
      <c r="M104" s="102">
        <f>+M67-L67</f>
        <v>56.08537249254401</v>
      </c>
      <c r="N104" s="102">
        <f>+N67-M67</f>
        <v>-54.557833939585436</v>
      </c>
      <c r="O104" s="102">
        <f>+O67</f>
        <v>7.1135353303218096</v>
      </c>
      <c r="P104" s="102">
        <f>+P67-O67</f>
        <v>64.762716076984731</v>
      </c>
      <c r="Q104" s="102">
        <f>+Q67-P67</f>
        <v>41.271231287401648</v>
      </c>
      <c r="R104" s="102">
        <f>+R67-Q67</f>
        <v>95.199356205190256</v>
      </c>
    </row>
    <row r="105" spans="1:18" x14ac:dyDescent="0.2">
      <c r="F105" s="69"/>
    </row>
    <row r="106" spans="1:18" x14ac:dyDescent="0.2">
      <c r="F106" s="69"/>
    </row>
    <row r="107" spans="1:18" ht="20.100000000000001" customHeight="1" outlineLevel="1" x14ac:dyDescent="0.2">
      <c r="B107" s="32" t="s">
        <v>215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1:18" ht="15" customHeight="1" outlineLevel="1" x14ac:dyDescent="0.2">
      <c r="B108" s="42" t="s">
        <v>196</v>
      </c>
      <c r="C108" s="90">
        <f>IFERROR(C93/C87,"a.d.")</f>
        <v>0.24318871588718655</v>
      </c>
      <c r="D108" s="90">
        <f>IFERROR(D93/D87,"a.d.")</f>
        <v>9.5051956985560127E-2</v>
      </c>
      <c r="E108" s="90">
        <f>IFERROR(E93/E87,"a.d.")</f>
        <v>0.14367009688487609</v>
      </c>
      <c r="F108" s="90">
        <f>IFERROR(F93/F87,"a.d.")</f>
        <v>1.5199110658320266E-2</v>
      </c>
      <c r="G108" s="90">
        <f>IFERROR(G93/G87,"a.d.")</f>
        <v>-2.586755342631776E-2</v>
      </c>
      <c r="H108" s="90">
        <f>IFERROR(H93/H87,"a.d.")</f>
        <v>5.4904199428465229E-2</v>
      </c>
      <c r="I108" s="90">
        <f>IFERROR(I93/I87,"a.d.")</f>
        <v>-0.16119684862105293</v>
      </c>
      <c r="J108" s="90">
        <f>IFERROR(J93/J87,"a.d.")</f>
        <v>-9.351460730241283E-2</v>
      </c>
      <c r="K108" s="90">
        <f>IFERROR(K93/K87,"a.d.")</f>
        <v>5.1936689048603039E-2</v>
      </c>
      <c r="L108" s="90">
        <f>IFERROR(L93/L87,"a.d.")</f>
        <v>2.2839586656678002E-2</v>
      </c>
      <c r="M108" s="90">
        <f>IFERROR(M93/M87,"a.d.")</f>
        <v>5.8018370872196433E-2</v>
      </c>
      <c r="N108" s="90">
        <f>IFERROR(N93/N87,"a.d.")</f>
        <v>-0.8268002613784784</v>
      </c>
      <c r="O108" s="90">
        <f>IFERROR(O93/O87,"a.d.")</f>
        <v>-0.23623474402132633</v>
      </c>
      <c r="P108" s="90">
        <f>IFERROR(P93/P87,"a.d.")</f>
        <v>0.1157777332057406</v>
      </c>
      <c r="Q108" s="90">
        <f>IFERROR(Q93/Q87,"a.d.")</f>
        <v>-7.3719738914190425E-2</v>
      </c>
      <c r="R108" s="90">
        <f>IFERROR(R93/R87,"a.d.")</f>
        <v>0.33143854951684065</v>
      </c>
    </row>
    <row r="109" spans="1:18" ht="15" customHeight="1" outlineLevel="1" x14ac:dyDescent="0.2">
      <c r="B109" s="24" t="s">
        <v>197</v>
      </c>
      <c r="C109" s="90">
        <f>IFERROR(C94/C88,"a.d.")</f>
        <v>0.12838177582340279</v>
      </c>
      <c r="D109" s="90">
        <f>IFERROR(D94/D88,"a.d.")</f>
        <v>0.18866263479845682</v>
      </c>
      <c r="E109" s="90">
        <f>IFERROR(E94/E88,"a.d.")</f>
        <v>0.1404601416044497</v>
      </c>
      <c r="F109" s="90">
        <f>IFERROR(F94/F88,"a.d.")</f>
        <v>7.5680604059587292E-2</v>
      </c>
      <c r="G109" s="90">
        <f>IFERROR(G94/G88,"a.d.")</f>
        <v>0.15654541017377388</v>
      </c>
      <c r="H109" s="90">
        <f>IFERROR(H94/H88,"a.d.")</f>
        <v>0.16126754977458344</v>
      </c>
      <c r="I109" s="90">
        <f>IFERROR(I94/I88,"a.d.")</f>
        <v>0.19650291602539638</v>
      </c>
      <c r="J109" s="90">
        <f>IFERROR(J94/J88,"a.d.")</f>
        <v>0.24321801530813736</v>
      </c>
      <c r="K109" s="90">
        <f>IFERROR(K94/K88,"a.d.")</f>
        <v>0.25029714364067757</v>
      </c>
      <c r="L109" s="90">
        <f>IFERROR(L94/L88,"a.d.")</f>
        <v>1.1096408188850977E-2</v>
      </c>
      <c r="M109" s="90">
        <f>IFERROR(M94/M88,"a.d.")</f>
        <v>0.17293149465479632</v>
      </c>
      <c r="N109" s="90">
        <f>IFERROR(N94/N88,"a.d.")</f>
        <v>0.3322927779962081</v>
      </c>
      <c r="O109" s="90">
        <f>IFERROR(O94/O88,"a.d.")</f>
        <v>0.17578076229052519</v>
      </c>
      <c r="P109" s="90">
        <f>IFERROR(P94/P88,"a.d.")</f>
        <v>0.17434749892278953</v>
      </c>
      <c r="Q109" s="90">
        <f>IFERROR(Q94/Q88,"a.d.")</f>
        <v>0.15496018245798038</v>
      </c>
      <c r="R109" s="90">
        <f>IFERROR(R94/R88,"a.d.")</f>
        <v>5.9760951677150197E-2</v>
      </c>
    </row>
    <row r="110" spans="1:18" ht="15" customHeight="1" outlineLevel="1" x14ac:dyDescent="0.2">
      <c r="B110" s="24" t="s">
        <v>198</v>
      </c>
      <c r="C110" s="90">
        <f>IFERROR(C95/C89,"a.d.")</f>
        <v>-0.64940794056187601</v>
      </c>
      <c r="D110" s="90">
        <f>IFERROR(D95/D89,"a.d.")</f>
        <v>0.11129943905124194</v>
      </c>
      <c r="E110" s="90">
        <f>IFERROR(E95/E89,"a.d.")</f>
        <v>-9.9188721013652864E-2</v>
      </c>
      <c r="F110" s="90">
        <f>IFERROR(F95/F89,"a.d.")</f>
        <v>-0.11892202354314545</v>
      </c>
      <c r="G110" s="90">
        <f>IFERROR(G95/G89,"a.d.")</f>
        <v>-0.70581426409046377</v>
      </c>
      <c r="H110" s="90">
        <f>IFERROR(H95/H89,"a.d.")</f>
        <v>5.0242335652652868E-2</v>
      </c>
      <c r="I110" s="90">
        <f>IFERROR(I95/I89,"a.d.")</f>
        <v>-7.3501740666624293E-2</v>
      </c>
      <c r="J110" s="90">
        <f>IFERROR(J95/J89,"a.d.")</f>
        <v>-0.25531061643138125</v>
      </c>
      <c r="K110" s="90">
        <f>IFERROR(K95/K89,"a.d.")</f>
        <v>-2.1679345758843667</v>
      </c>
      <c r="L110" s="90">
        <f>IFERROR(L95/L89,"a.d.")</f>
        <v>-0.15325940016453099</v>
      </c>
      <c r="M110" s="90">
        <f>IFERROR(M95/M89,"a.d.")</f>
        <v>-0.11453968590572121</v>
      </c>
      <c r="N110" s="90">
        <f>IFERROR(N95/N89,"a.d.")</f>
        <v>-0.29729288736523918</v>
      </c>
      <c r="O110" s="90">
        <f>IFERROR(O95/O89,"a.d.")</f>
        <v>4.8702089319631811E-2</v>
      </c>
      <c r="P110" s="90">
        <f>IFERROR(P95/P89,"a.d.")</f>
        <v>0.33406599915147728</v>
      </c>
      <c r="Q110" s="90">
        <f>IFERROR(Q95/Q89,"a.d.")</f>
        <v>9.9863686331864276E-3</v>
      </c>
      <c r="R110" s="90">
        <f>IFERROR(R95/R89,"a.d.")</f>
        <v>6.8055253534704707E-2</v>
      </c>
    </row>
    <row r="111" spans="1:18" ht="15" customHeight="1" outlineLevel="1" x14ac:dyDescent="0.2">
      <c r="B111" s="24" t="s">
        <v>199</v>
      </c>
      <c r="C111" s="90">
        <f>IFERROR(C96/C90,"a.d.")</f>
        <v>0.17982066297187072</v>
      </c>
      <c r="D111" s="90">
        <f>IFERROR(D96/D90,"a.d.")</f>
        <v>0.31973903980301233</v>
      </c>
      <c r="E111" s="90">
        <f>IFERROR(E96/E90,"a.d.")</f>
        <v>0.21656440178067896</v>
      </c>
      <c r="F111" s="90">
        <f>IFERROR(F96/F90,"a.d.")</f>
        <v>0.35150272198340854</v>
      </c>
      <c r="G111" s="90">
        <f>IFERROR(G96/G90,"a.d.")</f>
        <v>0.25653291812212536</v>
      </c>
      <c r="H111" s="90">
        <f>IFERROR(H96/H90,"a.d.")</f>
        <v>0.43937156446470915</v>
      </c>
      <c r="I111" s="90">
        <f>IFERROR(I96/I90,"a.d.")</f>
        <v>0.41149278927166194</v>
      </c>
      <c r="J111" s="90">
        <f>IFERROR(J96/J90,"a.d.")</f>
        <v>0.32139017669384135</v>
      </c>
      <c r="K111" s="90">
        <f>IFERROR(K96/K90,"a.d.")</f>
        <v>0.33435722989439476</v>
      </c>
      <c r="L111" s="90">
        <f>IFERROR(L96/L90,"a.d.")</f>
        <v>0.28566359713938105</v>
      </c>
      <c r="M111" s="90">
        <f>IFERROR(M96/M90,"a.d.")</f>
        <v>0.22688861355870882</v>
      </c>
      <c r="N111" s="90">
        <f>IFERROR(N96/N90,"a.d.")</f>
        <v>0.35882465810908681</v>
      </c>
      <c r="O111" s="90">
        <f>IFERROR(O96/O90,"a.d.")</f>
        <v>0.26895851926109765</v>
      </c>
      <c r="P111" s="90">
        <f>IFERROR(P96/P90,"a.d.")</f>
        <v>0.24781972741895333</v>
      </c>
      <c r="Q111" s="90">
        <f>IFERROR(Q96/Q90,"a.d.")</f>
        <v>0.23376932902916187</v>
      </c>
      <c r="R111" s="90">
        <f>IFERROR(R96/R90,"a.d.")</f>
        <v>0.19236520353732547</v>
      </c>
    </row>
    <row r="112" spans="1:18" ht="15" customHeight="1" outlineLevel="1" x14ac:dyDescent="0.2">
      <c r="B112" s="24" t="s">
        <v>200</v>
      </c>
      <c r="C112" s="90">
        <f>IFERROR(C97/C91,"a.d.")</f>
        <v>-2.6257338081031665</v>
      </c>
      <c r="D112" s="90">
        <f>IFERROR(D97/D91,"a.d.")</f>
        <v>-2.3225935494227072</v>
      </c>
      <c r="E112" s="90">
        <f>IFERROR(E97/E91,"a.d.")</f>
        <v>-1.453248081259406</v>
      </c>
      <c r="F112" s="90">
        <f>IFERROR(F97/F91,"a.d.")</f>
        <v>-1.5051743057391158</v>
      </c>
      <c r="G112" s="90">
        <f>IFERROR(G97/G91,"a.d.")</f>
        <v>-1.9128137384412149</v>
      </c>
      <c r="H112" s="90">
        <f>IFERROR(H97/H91,"a.d.")</f>
        <v>-1.9758788339161164</v>
      </c>
      <c r="I112" s="90">
        <f>IFERROR(I97/I91,"a.d.")</f>
        <v>-0.93908502168915509</v>
      </c>
      <c r="J112" s="90">
        <f>IFERROR(J97/J91,"a.d.")</f>
        <v>-1.9650224152035234</v>
      </c>
      <c r="K112" s="90">
        <f>IFERROR(K97/K91,"a.d.")</f>
        <v>-0.99642576933135718</v>
      </c>
      <c r="L112" s="90">
        <f>IFERROR(L97/L91,"a.d.")</f>
        <v>-6.8368319031686946</v>
      </c>
      <c r="M112" s="90">
        <f>IFERROR(M97/M91,"a.d.")</f>
        <v>0.1969307103817787</v>
      </c>
      <c r="N112" s="90">
        <f>IFERROR(N97/N91,"a.d.")</f>
        <v>-2.03704740211194</v>
      </c>
      <c r="O112" s="90">
        <f>IFERROR(O97/O91,"a.d.")</f>
        <v>-0.4957187922487607</v>
      </c>
      <c r="P112" s="90">
        <f>IFERROR(P97/P91,"a.d.")</f>
        <v>-0.58244977914641538</v>
      </c>
      <c r="Q112" s="90">
        <f>IFERROR(Q97/Q91,"a.d.")</f>
        <v>-0.63279088220298529</v>
      </c>
      <c r="R112" s="90">
        <f>IFERROR(R97/R91,"a.d.")</f>
        <v>-0.54251005852434986</v>
      </c>
    </row>
    <row r="113" spans="1:18" ht="15" customHeight="1" outlineLevel="1" x14ac:dyDescent="0.2">
      <c r="B113" s="43" t="s">
        <v>216</v>
      </c>
      <c r="C113" s="91">
        <f>IFERROR(C98/C92,"a.d.")</f>
        <v>0.20548022246646194</v>
      </c>
      <c r="D113" s="91">
        <f>IFERROR(D98/D92,"a.d.")</f>
        <v>0.11706637504840404</v>
      </c>
      <c r="E113" s="91">
        <f>IFERROR(E98/E92,"a.d.")</f>
        <v>0.13411266307806335</v>
      </c>
      <c r="F113" s="91">
        <f>IFERROR(F98/F92,"a.d.")</f>
        <v>3.4012542813287895E-2</v>
      </c>
      <c r="G113" s="91">
        <f>IFERROR(G98/G92,"a.d.")</f>
        <v>4.0915438426970756E-2</v>
      </c>
      <c r="H113" s="91">
        <f>IFERROR(H98/H92,"a.d.")</f>
        <v>8.8076454149080163E-2</v>
      </c>
      <c r="I113" s="91">
        <f>IFERROR(I98/I92,"a.d.")</f>
        <v>6.0321043504476023E-3</v>
      </c>
      <c r="J113" s="91">
        <f>IFERROR(J98/J92,"a.d.")</f>
        <v>2.1926936866516467E-2</v>
      </c>
      <c r="K113" s="91">
        <f>IFERROR(K98/K92,"a.d.")</f>
        <v>0.13616029795881437</v>
      </c>
      <c r="L113" s="91">
        <f>IFERROR(L98/L92,"a.d.")</f>
        <v>8.1655412395513369E-2</v>
      </c>
      <c r="M113" s="91">
        <f>IFERROR(M98/M92,"a.d.")</f>
        <v>0.10820226383555542</v>
      </c>
      <c r="N113" s="91">
        <f>IFERROR(N98/N92,"a.d.")</f>
        <v>-0.14507944508554133</v>
      </c>
      <c r="O113" s="91">
        <f>IFERROR(O98/O92,"a.d.")</f>
        <v>2.3981150438099747E-2</v>
      </c>
      <c r="P113" s="91">
        <f>IFERROR(P98/P92,"a.d.")</f>
        <v>0.15362668723210129</v>
      </c>
      <c r="Q113" s="91">
        <f>IFERROR(Q98/Q92,"a.d.")</f>
        <v>8.4306307509190936E-2</v>
      </c>
      <c r="R113" s="91">
        <f>IFERROR(R98/R92,"a.d.")</f>
        <v>0.15878233223940427</v>
      </c>
    </row>
    <row r="114" spans="1:18" ht="15" customHeight="1" outlineLevel="1" x14ac:dyDescent="0.2">
      <c r="B114" s="42" t="s">
        <v>196</v>
      </c>
      <c r="C114" s="90">
        <f>IFERROR(C99/C87,"a.d.")</f>
        <v>0.19052346741408055</v>
      </c>
      <c r="D114" s="90">
        <f>IFERROR(D99/D87,"a.d.")</f>
        <v>7.9808623260048367E-2</v>
      </c>
      <c r="E114" s="90">
        <f>IFERROR(E99/E87,"a.d.")</f>
        <v>9.0616197706372775E-2</v>
      </c>
      <c r="F114" s="90">
        <f>IFERROR(F99/F87,"a.d.")</f>
        <v>-3.6811730367396898E-2</v>
      </c>
      <c r="G114" s="90">
        <f>IFERROR(G99/G87,"a.d.")</f>
        <v>-5.0548881170961422E-2</v>
      </c>
      <c r="H114" s="90">
        <f>IFERROR(H99/H87,"a.d.")</f>
        <v>-6.8753733907837037E-3</v>
      </c>
      <c r="I114" s="90">
        <f>IFERROR(I99/I87,"a.d.")</f>
        <v>-0.20263605068844559</v>
      </c>
      <c r="J114" s="90">
        <f>IFERROR(J99/J87,"a.d.")</f>
        <v>-0.14859454553733356</v>
      </c>
      <c r="K114" s="90">
        <f>IFERROR(K99/K87,"a.d.")</f>
        <v>5.5685150260645277E-3</v>
      </c>
      <c r="L114" s="90">
        <f>IFERROR(L99/L87,"a.d.")</f>
        <v>-3.5603073075718937E-2</v>
      </c>
      <c r="M114" s="90">
        <f>IFERROR(M99/M87,"a.d.")</f>
        <v>2.0980854038405106E-2</v>
      </c>
      <c r="N114" s="90">
        <f>IFERROR(N99/N87,"a.d.")</f>
        <v>-1.0067232908725785</v>
      </c>
      <c r="O114" s="90">
        <f>IFERROR(O99/O87,"a.d.")</f>
        <v>-0.32651460073273503</v>
      </c>
      <c r="P114" s="90">
        <f>IFERROR(P99/P87,"a.d.")</f>
        <v>8.7858462248711175E-2</v>
      </c>
      <c r="Q114" s="90">
        <f>IFERROR(Q99/Q87,"a.d.")</f>
        <v>-0.1083228365387834</v>
      </c>
      <c r="R114" s="90">
        <f>IFERROR(R99/R87,"a.d.")</f>
        <v>0.26568947682047539</v>
      </c>
    </row>
    <row r="115" spans="1:18" ht="15" customHeight="1" outlineLevel="1" x14ac:dyDescent="0.2">
      <c r="B115" s="24" t="s">
        <v>197</v>
      </c>
      <c r="C115" s="90">
        <f>IFERROR(C100/C88,"a.d.")</f>
        <v>9.0233048116381484E-2</v>
      </c>
      <c r="D115" s="90">
        <f>IFERROR(D100/D88,"a.d.")</f>
        <v>0.15009645497482338</v>
      </c>
      <c r="E115" s="90">
        <f>IFERROR(E100/E88,"a.d.")</f>
        <v>9.967198155934795E-2</v>
      </c>
      <c r="F115" s="90">
        <f>IFERROR(F100/F88,"a.d.")</f>
        <v>3.6080991407858268E-2</v>
      </c>
      <c r="G115" s="90">
        <f>IFERROR(G100/G88,"a.d.")</f>
        <v>8.0146103546537076E-2</v>
      </c>
      <c r="H115" s="90">
        <f>IFERROR(H100/H88,"a.d.")</f>
        <v>6.7005565312131588E-2</v>
      </c>
      <c r="I115" s="90">
        <f>IFERROR(I100/I88,"a.d.")</f>
        <v>0.12371020427456013</v>
      </c>
      <c r="J115" s="90">
        <f>IFERROR(J100/J88,"a.d.")</f>
        <v>0.18701285432643916</v>
      </c>
      <c r="K115" s="90">
        <f>IFERROR(K100/K88,"a.d.")</f>
        <v>0.19885781508599062</v>
      </c>
      <c r="L115" s="90">
        <f>IFERROR(L100/L88,"a.d.")</f>
        <v>0.14322268753773154</v>
      </c>
      <c r="M115" s="90">
        <f>IFERROR(M100/M88,"a.d.")</f>
        <v>0.21498623744980006</v>
      </c>
      <c r="N115" s="90">
        <f>IFERROR(N100/N88,"a.d.")</f>
        <v>0.32949292415077031</v>
      </c>
      <c r="O115" s="90">
        <f>IFERROR(O100/O88,"a.d.")</f>
        <v>0.10936520474023217</v>
      </c>
      <c r="P115" s="90">
        <f>IFERROR(P100/P88,"a.d.")</f>
        <v>9.9427706092042975E-2</v>
      </c>
      <c r="Q115" s="90">
        <f>IFERROR(Q100/Q88,"a.d.")</f>
        <v>0.14138620785277578</v>
      </c>
      <c r="R115" s="90">
        <f>IFERROR(R100/R88,"a.d.")</f>
        <v>0.16666336827778344</v>
      </c>
    </row>
    <row r="116" spans="1:18" ht="15" customHeight="1" outlineLevel="1" x14ac:dyDescent="0.2">
      <c r="B116" s="24" t="s">
        <v>198</v>
      </c>
      <c r="C116" s="90">
        <f>IFERROR(C101/C89,"a.d.")</f>
        <v>-0.52449500812630589</v>
      </c>
      <c r="D116" s="90">
        <f>IFERROR(D101/D89,"a.d.")</f>
        <v>-4.7016884907457191E-3</v>
      </c>
      <c r="E116" s="90">
        <f>IFERROR(E101/E89,"a.d.")</f>
        <v>-0.11827065787233788</v>
      </c>
      <c r="F116" s="90">
        <f>IFERROR(F101/F89,"a.d.")</f>
        <v>-0.15162454324956867</v>
      </c>
      <c r="G116" s="90">
        <f>IFERROR(G101/G89,"a.d.")</f>
        <v>-1.3249042827887099</v>
      </c>
      <c r="H116" s="90">
        <f>IFERROR(H101/H89,"a.d.")</f>
        <v>-6.1705333095570081E-2</v>
      </c>
      <c r="I116" s="90">
        <f>IFERROR(I101/I89,"a.d.")</f>
        <v>-0.24486449535779373</v>
      </c>
      <c r="J116" s="90">
        <f>IFERROR(J101/J89,"a.d.")</f>
        <v>-0.44113497689993197</v>
      </c>
      <c r="K116" s="90">
        <f>IFERROR(K101/K89,"a.d.")</f>
        <v>-5.7672118676302784</v>
      </c>
      <c r="L116" s="90">
        <f>IFERROR(L101/L89,"a.d.")</f>
        <v>-0.39410101612431753</v>
      </c>
      <c r="M116" s="90">
        <f>IFERROR(M101/M89,"a.d.")</f>
        <v>-0.32887878207524196</v>
      </c>
      <c r="N116" s="90">
        <f>IFERROR(N101/N89,"a.d.")</f>
        <v>-0.5606714993085733</v>
      </c>
      <c r="O116" s="90">
        <f>IFERROR(O101/O89,"a.d.")</f>
        <v>-0.97170408610529391</v>
      </c>
      <c r="P116" s="90">
        <f>IFERROR(P101/P89,"a.d.")</f>
        <v>0.37838142072598913</v>
      </c>
      <c r="Q116" s="90">
        <f>IFERROR(Q101/Q89,"a.d.")</f>
        <v>-0.23692058516808467</v>
      </c>
      <c r="R116" s="90">
        <f>IFERROR(R101/R89,"a.d.")</f>
        <v>-9.1853264940842429E-3</v>
      </c>
    </row>
    <row r="117" spans="1:18" ht="15" customHeight="1" outlineLevel="1" x14ac:dyDescent="0.2">
      <c r="B117" s="24" t="s">
        <v>199</v>
      </c>
      <c r="C117" s="90">
        <f>IFERROR(C102/C90,"a.d.")</f>
        <v>0.1676513646345289</v>
      </c>
      <c r="D117" s="90">
        <f>IFERROR(D102/D90,"a.d.")</f>
        <v>0.24980590039955416</v>
      </c>
      <c r="E117" s="90">
        <f>IFERROR(E102/E90,"a.d.")</f>
        <v>0.14689084362458987</v>
      </c>
      <c r="F117" s="90">
        <f>IFERROR(F102/F90,"a.d.")</f>
        <v>0.25884185464710285</v>
      </c>
      <c r="G117" s="90">
        <f>IFERROR(G102/G90,"a.d.")</f>
        <v>0.18483727886417883</v>
      </c>
      <c r="H117" s="90">
        <f>IFERROR(H102/H90,"a.d.")</f>
        <v>0.32311277396756483</v>
      </c>
      <c r="I117" s="90">
        <f>IFERROR(I102/I90,"a.d.")</f>
        <v>0.34487362477794337</v>
      </c>
      <c r="J117" s="90">
        <f>IFERROR(J102/J90,"a.d.")</f>
        <v>0.20833746640832226</v>
      </c>
      <c r="K117" s="90">
        <f>IFERROR(K102/K90,"a.d.")</f>
        <v>0.27100257243433523</v>
      </c>
      <c r="L117" s="90">
        <f>IFERROR(L102/L90,"a.d.")</f>
        <v>0.16337608678509405</v>
      </c>
      <c r="M117" s="90">
        <f>IFERROR(M102/M90,"a.d.")</f>
        <v>0.14664566646125368</v>
      </c>
      <c r="N117" s="90">
        <f>IFERROR(N102/N90,"a.d.")</f>
        <v>0.36732717527932307</v>
      </c>
      <c r="O117" s="90">
        <f>IFERROR(O102/O90,"a.d.")</f>
        <v>0.24334633299509764</v>
      </c>
      <c r="P117" s="90">
        <f>IFERROR(P102/P90,"a.d.")</f>
        <v>0.21135362068667757</v>
      </c>
      <c r="Q117" s="90">
        <f>IFERROR(Q102/Q90,"a.d.")</f>
        <v>0.22494040923506556</v>
      </c>
      <c r="R117" s="90">
        <f>IFERROR(R102/R90,"a.d.")</f>
        <v>0.28996792047943881</v>
      </c>
    </row>
    <row r="118" spans="1:18" ht="15" customHeight="1" outlineLevel="1" x14ac:dyDescent="0.2">
      <c r="B118" s="24" t="s">
        <v>200</v>
      </c>
      <c r="C118" s="90">
        <f>IFERROR(C103/C91,"a.d.")</f>
        <v>2.9998075257434316</v>
      </c>
      <c r="D118" s="90">
        <f>IFERROR(D103/D91,"a.d.")</f>
        <v>1.4028539440315129</v>
      </c>
      <c r="E118" s="90">
        <f>IFERROR(E103/E91,"a.d.")</f>
        <v>-0.98502530818507972</v>
      </c>
      <c r="F118" s="90">
        <f>IFERROR(F103/F91,"a.d.")</f>
        <v>0.3967427732404657</v>
      </c>
      <c r="G118" s="90">
        <f>IFERROR(G103/G91,"a.d.")</f>
        <v>3.8932628797886388</v>
      </c>
      <c r="H118" s="90">
        <f>IFERROR(H103/H91,"a.d.")</f>
        <v>2.7840910014299238</v>
      </c>
      <c r="I118" s="90">
        <f>IFERROR(I103/I91,"a.d.")</f>
        <v>8.7814073768854932</v>
      </c>
      <c r="J118" s="90">
        <f>IFERROR(J103/J91,"a.d.")</f>
        <v>-10.287753254012772</v>
      </c>
      <c r="K118" s="90">
        <f>IFERROR(K103/K91,"a.d.")</f>
        <v>7.4670037485833829</v>
      </c>
      <c r="L118" s="90">
        <f>IFERROR(L103/L91,"a.d.")</f>
        <v>13.104055943779638</v>
      </c>
      <c r="M118" s="90">
        <f>IFERROR(M103/M91,"a.d.")</f>
        <v>3.6244108511289088</v>
      </c>
      <c r="N118" s="90">
        <f>IFERROR(N103/N91,"a.d.")</f>
        <v>29.576193197408603</v>
      </c>
      <c r="O118" s="90">
        <f>IFERROR(O103/O91,"a.d.")</f>
        <v>16.572825597115816</v>
      </c>
      <c r="P118" s="90">
        <f>IFERROR(P103/P91,"a.d.")</f>
        <v>8.6552267685594124</v>
      </c>
      <c r="Q118" s="90">
        <f>IFERROR(Q103/Q91,"a.d.")</f>
        <v>8.8203959867984914</v>
      </c>
      <c r="R118" s="90">
        <f>IFERROR(R103/R91,"a.d.")</f>
        <v>-4.4657878474152817</v>
      </c>
    </row>
    <row r="119" spans="1:18" ht="15" customHeight="1" outlineLevel="1" x14ac:dyDescent="0.2">
      <c r="A119" s="55" t="s">
        <v>164</v>
      </c>
      <c r="B119" s="43" t="s">
        <v>217</v>
      </c>
      <c r="C119" s="91">
        <f>IFERROR(C104/C92,"a.d.")</f>
        <v>0.17022533950026575</v>
      </c>
      <c r="D119" s="91">
        <f>IFERROR(D104/D92,"a.d.")</f>
        <v>0.1031980553894388</v>
      </c>
      <c r="E119" s="91">
        <f>IFERROR(E104/E92,"a.d.")</f>
        <v>8.5528974419534887E-2</v>
      </c>
      <c r="F119" s="91">
        <f>IFERROR(F104/F92,"a.d.")</f>
        <v>-9.6007349627657279E-3</v>
      </c>
      <c r="G119" s="91">
        <f>IFERROR(G104/G92,"a.d.")</f>
        <v>1.5340807560706032E-2</v>
      </c>
      <c r="H119" s="91">
        <f>IFERROR(H104/H92,"a.d.")</f>
        <v>3.7322083822256928E-2</v>
      </c>
      <c r="I119" s="91">
        <f>IFERROR(I104/I92,"a.d.")</f>
        <v>-7.5471278884842157E-3</v>
      </c>
      <c r="J119" s="91">
        <f>IFERROR(J104/J92,"a.d.")</f>
        <v>-6.7056755069481735E-2</v>
      </c>
      <c r="K119" s="91">
        <f>IFERROR(K104/K92,"a.d.")</f>
        <v>0.10799846250888057</v>
      </c>
      <c r="L119" s="91">
        <f>IFERROR(L104/L92,"a.d.")</f>
        <v>8.5325111691338551E-2</v>
      </c>
      <c r="M119" s="91">
        <f>IFERROR(M104/M92,"a.d.")</f>
        <v>0.13385925269919657</v>
      </c>
      <c r="N119" s="91">
        <f>IFERROR(N104/N92,"a.d.")</f>
        <v>-0.11612112831931351</v>
      </c>
      <c r="O119" s="91">
        <f>IFERROR(O104/O92,"a.d.")</f>
        <v>1.8703597890111948E-2</v>
      </c>
      <c r="P119" s="91">
        <f>IFERROR(P104/P92,"a.d.")</f>
        <v>0.13063598328971684</v>
      </c>
      <c r="Q119" s="91">
        <f>IFERROR(Q104/Q92,"a.d.")</f>
        <v>8.9414263024369292E-2</v>
      </c>
      <c r="R119" s="91">
        <f>IFERROR(R104/R92,"a.d.")</f>
        <v>0.18474756686411326</v>
      </c>
    </row>
    <row r="120" spans="1:18" x14ac:dyDescent="0.2">
      <c r="F120" s="69"/>
    </row>
    <row r="121" spans="1:18" x14ac:dyDescent="0.2">
      <c r="F121" s="69"/>
    </row>
    <row r="122" spans="1:18" ht="20.100000000000001" customHeight="1" outlineLevel="1" x14ac:dyDescent="0.2">
      <c r="B122" s="32" t="s">
        <v>160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1:18" ht="15" customHeight="1" outlineLevel="1" x14ac:dyDescent="0.2">
      <c r="B123" s="34" t="s">
        <v>244</v>
      </c>
      <c r="C123" s="35" t="s">
        <v>187</v>
      </c>
      <c r="D123" s="35" t="s">
        <v>189</v>
      </c>
      <c r="E123" s="35" t="s">
        <v>192</v>
      </c>
      <c r="F123" s="35">
        <v>2019</v>
      </c>
      <c r="G123" s="35" t="s">
        <v>194</v>
      </c>
      <c r="H123" s="35" t="s">
        <v>206</v>
      </c>
      <c r="I123" s="35" t="s">
        <v>207</v>
      </c>
      <c r="J123" s="35">
        <v>2020</v>
      </c>
      <c r="K123" s="35" t="s">
        <v>220</v>
      </c>
      <c r="L123" s="35" t="s">
        <v>221</v>
      </c>
      <c r="M123" s="35" t="s">
        <v>223</v>
      </c>
      <c r="N123" s="35">
        <v>2021</v>
      </c>
      <c r="O123" s="35" t="s">
        <v>233</v>
      </c>
      <c r="P123" s="35" t="s">
        <v>234</v>
      </c>
      <c r="Q123" s="35" t="s">
        <v>235</v>
      </c>
      <c r="R123" s="35">
        <v>2022</v>
      </c>
    </row>
    <row r="124" spans="1:18" ht="15" customHeight="1" outlineLevel="1" x14ac:dyDescent="0.2">
      <c r="B124" s="42" t="s">
        <v>196</v>
      </c>
      <c r="C124" s="104">
        <f>'Finansallar - 2019-2022'!C182/C$13</f>
        <v>6.0661209420276396</v>
      </c>
      <c r="D124" s="104">
        <f>'Finansallar - 2019-2022'!D182/D$13</f>
        <v>9.2366140541310013</v>
      </c>
      <c r="E124" s="104">
        <f>'Finansallar - 2019-2022'!E182/E$13</f>
        <v>11.363023181511565</v>
      </c>
      <c r="F124" s="104">
        <f>'Finansallar - 2019-2022'!F182/F$13</f>
        <v>18.994216391592648</v>
      </c>
      <c r="G124" s="104">
        <f>'Finansallar - 2019-2022'!G182/G$13</f>
        <v>6.7109863593834751</v>
      </c>
      <c r="H124" s="104">
        <f>'Finansallar - 2019-2022'!H182/H$13</f>
        <v>17.360460984690491</v>
      </c>
      <c r="I124" s="104">
        <f>'Finansallar - 2019-2022'!I182/I$13</f>
        <v>20.058383724047598</v>
      </c>
      <c r="J124" s="104">
        <f>'Finansallar - 2019-2022'!J182/J$13</f>
        <v>34.839792100979572</v>
      </c>
      <c r="K124" s="104">
        <f>'Finansallar - 2019-2022'!K182/K$13</f>
        <v>9.5843733043950099</v>
      </c>
      <c r="L124" s="104">
        <f>'Finansallar - 2019-2022'!L182/L$13</f>
        <v>15.7735757945433</v>
      </c>
      <c r="M124" s="104">
        <f>'Finansallar - 2019-2022'!M182/M$13</f>
        <v>18.738196470064764</v>
      </c>
      <c r="N124" s="104">
        <f>'Finansallar - 2019-2022'!N182/N$13</f>
        <v>19.228406563004619</v>
      </c>
      <c r="O124" s="104">
        <f>'Finansallar - 2019-2022'!O182/O$13</f>
        <v>1.1310442894795429</v>
      </c>
      <c r="P124" s="104">
        <f>'Finansallar - 2019-2022'!P182/P$13</f>
        <v>4.5639877842422116</v>
      </c>
      <c r="Q124" s="104">
        <f>'Finansallar - 2019-2022'!Q182/Q$13</f>
        <v>5.8724514884442263</v>
      </c>
      <c r="R124" s="104">
        <f>'Finansallar - 2019-2022'!R182/R$13</f>
        <v>11.653052346657642</v>
      </c>
    </row>
    <row r="125" spans="1:18" ht="15" customHeight="1" outlineLevel="1" x14ac:dyDescent="0.2">
      <c r="B125" s="24" t="s">
        <v>197</v>
      </c>
      <c r="C125" s="104">
        <f>'Finansallar - 2019-2022'!C183/C$13</f>
        <v>0.90827723806149763</v>
      </c>
      <c r="D125" s="104">
        <f>'Finansallar - 2019-2022'!D183/D$13</f>
        <v>4.808619677206968</v>
      </c>
      <c r="E125" s="104">
        <f>'Finansallar - 2019-2022'!E183/E$13</f>
        <v>5.2272001136000457</v>
      </c>
      <c r="F125" s="104">
        <f>'Finansallar - 2019-2022'!F183/F$13</f>
        <v>10.084638171815509</v>
      </c>
      <c r="G125" s="104">
        <f>'Finansallar - 2019-2022'!G183/G$13</f>
        <v>3.4598906780913046</v>
      </c>
      <c r="H125" s="104">
        <f>'Finansallar - 2019-2022'!H183/H$13</f>
        <v>19.799941295515289</v>
      </c>
      <c r="I125" s="104">
        <f>'Finansallar - 2019-2022'!I183/I$13</f>
        <v>27.705013255488449</v>
      </c>
      <c r="J125" s="104">
        <f>'Finansallar - 2019-2022'!J183/J$13</f>
        <v>34.345032412828097</v>
      </c>
      <c r="K125" s="104">
        <f>'Finansallar - 2019-2022'!K183/K$13</f>
        <v>3.2269397721106894</v>
      </c>
      <c r="L125" s="104">
        <f>'Finansallar - 2019-2022'!L183/L$13</f>
        <v>10.525586773918866</v>
      </c>
      <c r="M125" s="104">
        <f>'Finansallar - 2019-2022'!M183/M$13</f>
        <v>16.086419142730012</v>
      </c>
      <c r="N125" s="104">
        <f>'Finansallar - 2019-2022'!N183/N$13</f>
        <v>20.370947525322673</v>
      </c>
      <c r="O125" s="104">
        <f>'Finansallar - 2019-2022'!O183/O$13</f>
        <v>0.98109061137723252</v>
      </c>
      <c r="P125" s="104">
        <f>'Finansallar - 2019-2022'!P183/P$13</f>
        <v>2.9025907923388594</v>
      </c>
      <c r="Q125" s="104">
        <f>'Finansallar - 2019-2022'!Q183/Q$13</f>
        <v>4.9923087591885107</v>
      </c>
      <c r="R125" s="104">
        <f>'Finansallar - 2019-2022'!R183/R$13</f>
        <v>8.1261781623084701</v>
      </c>
    </row>
    <row r="126" spans="1:18" ht="15" customHeight="1" outlineLevel="1" x14ac:dyDescent="0.2">
      <c r="B126" s="24" t="s">
        <v>198</v>
      </c>
      <c r="C126" s="104">
        <f>'Finansallar - 2019-2022'!C184/C$13</f>
        <v>2.98364690745679</v>
      </c>
      <c r="D126" s="104">
        <f>'Finansallar - 2019-2022'!D184/D$13</f>
        <v>2.8473050162820077</v>
      </c>
      <c r="E126" s="104">
        <f>'Finansallar - 2019-2022'!E184/E$13</f>
        <v>7.349923674961822</v>
      </c>
      <c r="F126" s="104">
        <f>'Finansallar - 2019-2022'!F184/F$13</f>
        <v>9.1040696854281471</v>
      </c>
      <c r="G126" s="104">
        <f>'Finansallar - 2019-2022'!G184/G$13</f>
        <v>0.86045862674611528</v>
      </c>
      <c r="H126" s="104">
        <f>'Finansallar - 2019-2022'!H184/H$13</f>
        <v>4.3157065393706269</v>
      </c>
      <c r="I126" s="104">
        <f>'Finansallar - 2019-2022'!I184/I$13</f>
        <v>5.2738971135801886</v>
      </c>
      <c r="J126" s="104">
        <f>'Finansallar - 2019-2022'!J184/J$13</f>
        <v>6.1083188165748146</v>
      </c>
      <c r="K126" s="104">
        <f>'Finansallar - 2019-2022'!K184/K$13</f>
        <v>0.26994031470428648</v>
      </c>
      <c r="L126" s="104">
        <f>'Finansallar - 2019-2022'!L184/L$13</f>
        <v>1.3076131295032551</v>
      </c>
      <c r="M126" s="104">
        <f>'Finansallar - 2019-2022'!M184/M$13</f>
        <v>1.8315864933010335</v>
      </c>
      <c r="N126" s="104">
        <f>'Finansallar - 2019-2022'!N184/N$13</f>
        <v>2.0563027202818525</v>
      </c>
      <c r="O126" s="104">
        <f>'Finansallar - 2019-2022'!O184/O$13</f>
        <v>0.29574197625733434</v>
      </c>
      <c r="P126" s="104">
        <f>'Finansallar - 2019-2022'!P184/P$13</f>
        <v>0.62487780871417686</v>
      </c>
      <c r="Q126" s="104">
        <f>'Finansallar - 2019-2022'!Q184/Q$13</f>
        <v>0.93852050787406549</v>
      </c>
      <c r="R126" s="104">
        <f>'Finansallar - 2019-2022'!R184/R$13</f>
        <v>1.4174198849630235</v>
      </c>
    </row>
    <row r="127" spans="1:18" ht="15" customHeight="1" outlineLevel="1" x14ac:dyDescent="0.2">
      <c r="B127" s="24" t="s">
        <v>199</v>
      </c>
      <c r="C127" s="104">
        <f>'Finansallar - 2019-2022'!C185/C$13</f>
        <v>0.70502899550616349</v>
      </c>
      <c r="D127" s="104">
        <f>'Finansallar - 2019-2022'!D185/D$13</f>
        <v>2.0154100752709216</v>
      </c>
      <c r="E127" s="104">
        <f>'Finansallar - 2019-2022'!E185/E$13</f>
        <v>3.0858390429195151</v>
      </c>
      <c r="F127" s="104">
        <f>'Finansallar - 2019-2022'!F185/F$13</f>
        <v>10.968930737762754</v>
      </c>
      <c r="G127" s="104">
        <f>'Finansallar - 2019-2022'!G185/G$13</f>
        <v>0.80776743651614524</v>
      </c>
      <c r="H127" s="104">
        <f>'Finansallar - 2019-2022'!H185/H$13</f>
        <v>2.0535755665755207</v>
      </c>
      <c r="I127" s="104">
        <f>'Finansallar - 2019-2022'!I185/I$13</f>
        <v>3.0855500282982424</v>
      </c>
      <c r="J127" s="104">
        <f>'Finansallar - 2019-2022'!J185/J$13</f>
        <v>4.4169974583773657</v>
      </c>
      <c r="K127" s="104">
        <f>'Finansallar - 2019-2022'!K185/K$13</f>
        <v>0.44343461747151386</v>
      </c>
      <c r="L127" s="104">
        <f>'Finansallar - 2019-2022'!L185/L$13</f>
        <v>1.881997128080001</v>
      </c>
      <c r="M127" s="104">
        <f>'Finansallar - 2019-2022'!M185/M$13</f>
        <v>2.4029762199040885</v>
      </c>
      <c r="N127" s="104">
        <f>'Finansallar - 2019-2022'!N185/N$13</f>
        <v>20.923360095757534</v>
      </c>
      <c r="O127" s="104">
        <f>'Finansallar - 2019-2022'!O185/O$13</f>
        <v>9.8152151275108963</v>
      </c>
      <c r="P127" s="104">
        <f>'Finansallar - 2019-2022'!P185/P$13</f>
        <v>18.417614421605442</v>
      </c>
      <c r="Q127" s="104">
        <f>'Finansallar - 2019-2022'!Q185/Q$13</f>
        <v>22.747790344340633</v>
      </c>
      <c r="R127" s="104">
        <f>'Finansallar - 2019-2022'!R185/R$13</f>
        <v>31.896055875102704</v>
      </c>
    </row>
    <row r="128" spans="1:18" ht="15" customHeight="1" outlineLevel="1" x14ac:dyDescent="0.2">
      <c r="B128" s="24" t="s">
        <v>200</v>
      </c>
      <c r="C128" s="104">
        <f>'Finansallar - 2019-2022'!C186/C$13</f>
        <v>0.2619851199910499</v>
      </c>
      <c r="D128" s="104">
        <f>'Finansallar - 2019-2022'!D186/D$13</f>
        <v>1.6502660284356812</v>
      </c>
      <c r="E128" s="104">
        <f>'Finansallar - 2019-2022'!E186/E$13</f>
        <v>2.0795910397955151</v>
      </c>
      <c r="F128" s="104">
        <f>'Finansallar - 2019-2022'!F186/F$13</f>
        <v>2.2982790238397568</v>
      </c>
      <c r="G128" s="104">
        <f>'Finansallar - 2019-2022'!G186/G$13</f>
        <v>9.9801382117824897E-2</v>
      </c>
      <c r="H128" s="104">
        <f>'Finansallar - 2019-2022'!H186/H$13</f>
        <v>0.44337334507423037</v>
      </c>
      <c r="I128" s="104">
        <f>'Finansallar - 2019-2022'!I186/I$13</f>
        <v>0.76583956390932884</v>
      </c>
      <c r="J128" s="104">
        <f>'Finansallar - 2019-2022'!J186/J$13</f>
        <v>1.3541993888682657</v>
      </c>
      <c r="K128" s="104">
        <f>'Finansallar - 2019-2022'!K186/K$13</f>
        <v>2.7943570265870861E-2</v>
      </c>
      <c r="L128" s="104">
        <f>'Finansallar - 2019-2022'!L186/L$13</f>
        <v>0.11563925635062802</v>
      </c>
      <c r="M128" s="104">
        <f>'Finansallar - 2019-2022'!M186/M$13</f>
        <v>0.12520393533395954</v>
      </c>
      <c r="N128" s="104">
        <f>'Finansallar - 2019-2022'!N186/N$13</f>
        <v>0.21839041521280078</v>
      </c>
      <c r="O128" s="104">
        <f>'Finansallar - 2019-2022'!O186/O$13</f>
        <v>4.8476404558936537E-2</v>
      </c>
      <c r="P128" s="104">
        <f>'Finansallar - 2019-2022'!P186/P$13</f>
        <v>0.18896671677913884</v>
      </c>
      <c r="Q128" s="104">
        <f>'Finansallar - 2019-2022'!Q186/Q$13</f>
        <v>0.99790697381195548</v>
      </c>
      <c r="R128" s="104">
        <f>'Finansallar - 2019-2022'!R186/R$13</f>
        <v>1.615592827106191</v>
      </c>
    </row>
    <row r="129" spans="1:18" ht="15" customHeight="1" outlineLevel="1" x14ac:dyDescent="0.2">
      <c r="B129" s="43" t="s">
        <v>161</v>
      </c>
      <c r="C129" s="102">
        <f>'Finansallar - 2019-2022'!C187/C$13</f>
        <v>10.925059203043142</v>
      </c>
      <c r="D129" s="102">
        <f>'Finansallar - 2019-2022'!D187/D$13</f>
        <v>20.558214851326582</v>
      </c>
      <c r="E129" s="102">
        <f>'Finansallar - 2019-2022'!E187/E$13</f>
        <v>29.105577052788462</v>
      </c>
      <c r="F129" s="102">
        <f>'Finansallar - 2019-2022'!F187/F$13</f>
        <v>51.450134010438816</v>
      </c>
      <c r="G129" s="102">
        <f>'Finansallar - 2019-2022'!G187/G$13</f>
        <v>11.938904482854866</v>
      </c>
      <c r="H129" s="102">
        <f>'Finansallar - 2019-2022'!H187/H$13</f>
        <v>43.973057731226156</v>
      </c>
      <c r="I129" s="102">
        <f>'Finansallar - 2019-2022'!I187/I$13</f>
        <v>56.888683685323805</v>
      </c>
      <c r="J129" s="102">
        <f>'Finansallar - 2019-2022'!J187/J$13</f>
        <v>81.064340177628111</v>
      </c>
      <c r="K129" s="102">
        <f>'Finansallar - 2019-2022'!K187/K$13</f>
        <v>13.552631578947368</v>
      </c>
      <c r="L129" s="102">
        <f>'Finansallar - 2019-2022'!L187/L$13</f>
        <v>29.604412082396053</v>
      </c>
      <c r="M129" s="102">
        <f>'Finansallar - 2019-2022'!M187/M$13</f>
        <v>39.184382261333866</v>
      </c>
      <c r="N129" s="102">
        <f>'Finansallar - 2019-2022'!N187/N$13</f>
        <v>62.797407319579477</v>
      </c>
      <c r="O129" s="102">
        <f>'Finansallar - 2019-2022'!O187/O$13</f>
        <v>12.271568409183944</v>
      </c>
      <c r="P129" s="102">
        <f>'Finansallar - 2019-2022'!P187/P$13</f>
        <v>26.69803752367983</v>
      </c>
      <c r="Q129" s="102">
        <f>'Finansallar - 2019-2022'!Q187/Q$13</f>
        <v>35.548946552180659</v>
      </c>
      <c r="R129" s="102">
        <f>'Finansallar - 2019-2022'!R187/R$13</f>
        <v>54.708299096138035</v>
      </c>
    </row>
    <row r="130" spans="1:18" ht="15" customHeight="1" outlineLevel="1" x14ac:dyDescent="0.2">
      <c r="B130" s="42" t="s">
        <v>196</v>
      </c>
      <c r="C130" s="104">
        <f>'Finansallar - 2019-2022'!C188/C$13</f>
        <v>7.3523653247310303</v>
      </c>
      <c r="D130" s="104">
        <f>'Finansallar - 2019-2022'!D188/D$13</f>
        <v>17.401996547858424</v>
      </c>
      <c r="E130" s="104">
        <f>'Finansallar - 2019-2022'!E188/E$13</f>
        <v>25.924952962476425</v>
      </c>
      <c r="F130" s="104">
        <f>'Finansallar - 2019-2022'!F188/F$13</f>
        <v>34.021723797432713</v>
      </c>
      <c r="G130" s="104">
        <f>'Finansallar - 2019-2022'!G188/G$13</f>
        <v>7.3695441637530701</v>
      </c>
      <c r="H130" s="104">
        <f>'Finansallar - 2019-2022'!H188/H$13</f>
        <v>13.81239282569403</v>
      </c>
      <c r="I130" s="104">
        <f>'Finansallar - 2019-2022'!I188/I$13</f>
        <v>21.263292722885886</v>
      </c>
      <c r="J130" s="104">
        <f>'Finansallar - 2019-2022'!J188/J$13</f>
        <v>28.313390638832601</v>
      </c>
      <c r="K130" s="104">
        <f>'Finansallar - 2019-2022'!K188/K$13</f>
        <v>7.7101193705914266</v>
      </c>
      <c r="L130" s="104">
        <f>'Finansallar - 2019-2022'!L188/L$13</f>
        <v>15.783614806907806</v>
      </c>
      <c r="M130" s="104">
        <f>'Finansallar - 2019-2022'!M188/M$13</f>
        <v>23.574924605725023</v>
      </c>
      <c r="N130" s="104">
        <f>'Finansallar - 2019-2022'!N188/N$13</f>
        <v>33.995279876237902</v>
      </c>
      <c r="O130" s="104">
        <f>'Finansallar - 2019-2022'!O188/O$13</f>
        <v>6.5367738414139307</v>
      </c>
      <c r="P130" s="104">
        <f>'Finansallar - 2019-2022'!P188/P$13</f>
        <v>13.262591601329442</v>
      </c>
      <c r="Q130" s="104">
        <f>'Finansallar - 2019-2022'!Q188/Q$13</f>
        <v>19.86206200905297</v>
      </c>
      <c r="R130" s="104">
        <f>'Finansallar - 2019-2022'!R188/R$13</f>
        <v>26.884878437817189</v>
      </c>
    </row>
    <row r="131" spans="1:18" ht="15" customHeight="1" outlineLevel="1" x14ac:dyDescent="0.2">
      <c r="B131" s="24" t="s">
        <v>197</v>
      </c>
      <c r="C131" s="104">
        <f>'Finansallar - 2019-2022'!C189/C$13</f>
        <v>3.3892110611795889</v>
      </c>
      <c r="D131" s="104">
        <f>'Finansallar - 2019-2022'!D189/D$13</f>
        <v>5.6093741658807401</v>
      </c>
      <c r="E131" s="104">
        <f>'Finansallar - 2019-2022'!E189/E$13</f>
        <v>8.1193865596932628</v>
      </c>
      <c r="F131" s="104">
        <f>'Finansallar - 2019-2022'!F189/F$13</f>
        <v>11.50074058400341</v>
      </c>
      <c r="G131" s="104">
        <f>'Finansallar - 2019-2022'!G189/G$13</f>
        <v>3.2394412435777538</v>
      </c>
      <c r="H131" s="104">
        <f>'Finansallar - 2019-2022'!H189/H$13</f>
        <v>4.7484203859047449</v>
      </c>
      <c r="I131" s="104">
        <f>'Finansallar - 2019-2022'!I189/I$13</f>
        <v>8.5058532662119344</v>
      </c>
      <c r="J131" s="104">
        <f>'Finansallar - 2019-2022'!J189/J$13</f>
        <v>10.954536368049817</v>
      </c>
      <c r="K131" s="104">
        <f>'Finansallar - 2019-2022'!K189/K$13</f>
        <v>2.716087900162778</v>
      </c>
      <c r="L131" s="104">
        <f>'Finansallar - 2019-2022'!L189/L$13</f>
        <v>5.2112640260251695</v>
      </c>
      <c r="M131" s="104">
        <f>'Finansallar - 2019-2022'!M189/M$13</f>
        <v>7.3143570475107538</v>
      </c>
      <c r="N131" s="104">
        <f>'Finansallar - 2019-2022'!N189/N$13</f>
        <v>9.1646058470815408</v>
      </c>
      <c r="O131" s="104">
        <f>'Finansallar - 2019-2022'!O189/O$13</f>
        <v>1.3054875289960717</v>
      </c>
      <c r="P131" s="104">
        <f>'Finansallar - 2019-2022'!P189/P$13</f>
        <v>3.3372883984008954</v>
      </c>
      <c r="Q131" s="104">
        <f>'Finansallar - 2019-2022'!Q189/Q$13</f>
        <v>4.7768909735093494</v>
      </c>
      <c r="R131" s="104">
        <f>'Finansallar - 2019-2022'!R189/R$13</f>
        <v>6.4028590072018927</v>
      </c>
    </row>
    <row r="132" spans="1:18" ht="15" customHeight="1" outlineLevel="1" x14ac:dyDescent="0.2">
      <c r="B132" s="24" t="s">
        <v>198</v>
      </c>
      <c r="C132" s="104">
        <f>'Finansallar - 2019-2022'!C190/C$13</f>
        <v>0.46486042999123656</v>
      </c>
      <c r="D132" s="104">
        <f>'Finansallar - 2019-2022'!D190/D$13</f>
        <v>0.96482018613093201</v>
      </c>
      <c r="E132" s="104">
        <f>'Finansallar - 2019-2022'!E190/E$13</f>
        <v>1.1393730696865323</v>
      </c>
      <c r="F132" s="104">
        <f>'Finansallar - 2019-2022'!F190/F$13</f>
        <v>1.7652348709267915</v>
      </c>
      <c r="G132" s="104">
        <f>'Finansallar - 2019-2022'!G190/G$13</f>
        <v>0.47044533083829959</v>
      </c>
      <c r="H132" s="104">
        <f>'Finansallar - 2019-2022'!H190/H$13</f>
        <v>1.0454032843614345</v>
      </c>
      <c r="I132" s="104">
        <f>'Finansallar - 2019-2022'!I190/I$13</f>
        <v>1.5537219624080354</v>
      </c>
      <c r="J132" s="104">
        <f>'Finansallar - 2019-2022'!J190/J$13</f>
        <v>2.1253962361138901</v>
      </c>
      <c r="K132" s="104">
        <f>'Finansallar - 2019-2022'!K190/K$13</f>
        <v>0.71011937059142705</v>
      </c>
      <c r="L132" s="104">
        <f>'Finansallar - 2019-2022'!L190/L$13</f>
        <v>1.4307498761007922</v>
      </c>
      <c r="M132" s="104">
        <f>'Finansallar - 2019-2022'!M190/M$13</f>
        <v>1.9895436792406191</v>
      </c>
      <c r="N132" s="104">
        <f>'Finansallar - 2019-2022'!N190/N$13</f>
        <v>2.4181035942951996</v>
      </c>
      <c r="O132" s="104">
        <f>'Finansallar - 2019-2022'!O190/O$13</f>
        <v>0.36274713989213103</v>
      </c>
      <c r="P132" s="104">
        <f>'Finansallar - 2019-2022'!P190/P$13</f>
        <v>0.64901269441054932</v>
      </c>
      <c r="Q132" s="104">
        <f>'Finansallar - 2019-2022'!Q190/Q$13</f>
        <v>0.89892953058213876</v>
      </c>
      <c r="R132" s="104">
        <f>'Finansallar - 2019-2022'!R190/R$13</f>
        <v>1.2802092899608484</v>
      </c>
    </row>
    <row r="133" spans="1:18" ht="15" customHeight="1" outlineLevel="1" x14ac:dyDescent="0.2">
      <c r="B133" s="24" t="s">
        <v>199</v>
      </c>
      <c r="C133" s="104">
        <f>'Finansallar - 2019-2022'!C191/C$13</f>
        <v>0.44061981390665544</v>
      </c>
      <c r="D133" s="104">
        <f>'Finansallar - 2019-2022'!D191/D$13</f>
        <v>0.9390180970514439</v>
      </c>
      <c r="E133" s="104">
        <f>'Finansallar - 2019-2022'!E191/E$13</f>
        <v>1.384145692072843</v>
      </c>
      <c r="F133" s="104">
        <f>'Finansallar - 2019-2022'!F191/F$13</f>
        <v>2.0496543941317578</v>
      </c>
      <c r="G133" s="104">
        <f>'Finansallar - 2019-2022'!G191/G$13</f>
        <v>0.50557279099161301</v>
      </c>
      <c r="H133" s="104">
        <f>'Finansallar - 2019-2022'!H191/H$13</f>
        <v>0.99117887874434218</v>
      </c>
      <c r="I133" s="104">
        <f>'Finansallar - 2019-2022'!I191/I$13</f>
        <v>1.4767209794167626</v>
      </c>
      <c r="J133" s="104">
        <f>'Finansallar - 2019-2022'!J191/J$13</f>
        <v>1.9357740526030238</v>
      </c>
      <c r="K133" s="104">
        <f>'Finansallar - 2019-2022'!K191/K$13</f>
        <v>0.46147585458491591</v>
      </c>
      <c r="L133" s="104">
        <f>'Finansallar - 2019-2022'!L191/L$13</f>
        <v>0.86818395537086879</v>
      </c>
      <c r="M133" s="104">
        <f>'Finansallar - 2019-2022'!M191/M$13</f>
        <v>1.349433924951797</v>
      </c>
      <c r="N133" s="104">
        <f>'Finansallar - 2019-2022'!N191/N$13</f>
        <v>1.7496075973666676</v>
      </c>
      <c r="O133" s="104">
        <f>'Finansallar - 2019-2022'!O191/O$13</f>
        <v>0.31383983395933729</v>
      </c>
      <c r="P133" s="104">
        <f>'Finansallar - 2019-2022'!P191/P$13</f>
        <v>0.5554394504257314</v>
      </c>
      <c r="Q133" s="104">
        <f>'Finansallar - 2019-2022'!Q191/Q$13</f>
        <v>0.77757183745003844</v>
      </c>
      <c r="R133" s="104">
        <f>'Finansallar - 2019-2022'!R191/R$13</f>
        <v>1.018838513219585</v>
      </c>
    </row>
    <row r="134" spans="1:18" ht="15" customHeight="1" outlineLevel="1" x14ac:dyDescent="0.2">
      <c r="B134" s="24" t="s">
        <v>200</v>
      </c>
      <c r="C134" s="104">
        <f>'Finansallar - 2019-2022'!C192/C$13</f>
        <v>0.36845736448563315</v>
      </c>
      <c r="D134" s="104">
        <f>'Finansallar - 2019-2022'!D192/D$13</f>
        <v>0.62636795558481762</v>
      </c>
      <c r="E134" s="104">
        <f>'Finansallar - 2019-2022'!E192/E$13</f>
        <v>1.1592530796265372</v>
      </c>
      <c r="F134" s="104">
        <f>'Finansallar - 2019-2022'!F192/F$13</f>
        <v>1.640922556072792</v>
      </c>
      <c r="G134" s="104">
        <f>'Finansallar - 2019-2022'!G192/G$13</f>
        <v>0.45353818880189173</v>
      </c>
      <c r="H134" s="104">
        <f>'Finansallar - 2019-2022'!H192/H$13</f>
        <v>0.91409062118613971</v>
      </c>
      <c r="I134" s="104">
        <f>'Finansallar - 2019-2022'!I192/I$13</f>
        <v>1.2953144082690453</v>
      </c>
      <c r="J134" s="104">
        <f>'Finansallar - 2019-2022'!J192/J$13</f>
        <v>1.6516263529143009</v>
      </c>
      <c r="K134" s="104">
        <f>'Finansallar - 2019-2022'!K192/K$13</f>
        <v>0.50013564839934888</v>
      </c>
      <c r="L134" s="104">
        <f>'Finansallar - 2019-2022'!L192/L$13</f>
        <v>0.83793984217147377</v>
      </c>
      <c r="M134" s="104">
        <f>'Finansallar - 2019-2022'!M192/M$13</f>
        <v>1.1898699757749545</v>
      </c>
      <c r="N134" s="104">
        <f>'Finansallar - 2019-2022'!N192/N$13</f>
        <v>1.3675937531759206</v>
      </c>
      <c r="O134" s="104">
        <f>'Finansallar - 2019-2022'!O192/O$13</f>
        <v>0.20798172978174845</v>
      </c>
      <c r="P134" s="104">
        <f>'Finansallar - 2019-2022'!P192/P$13</f>
        <v>0.37746152238544362</v>
      </c>
      <c r="Q134" s="104">
        <f>'Finansallar - 2019-2022'!Q192/Q$13</f>
        <v>0.52401306250078805</v>
      </c>
      <c r="R134" s="104">
        <f>'Finansallar - 2019-2022'!R192/R$13</f>
        <v>0.74834453091014519</v>
      </c>
    </row>
    <row r="135" spans="1:18" ht="15" customHeight="1" outlineLevel="1" x14ac:dyDescent="0.2">
      <c r="A135" s="55" t="s">
        <v>164</v>
      </c>
      <c r="B135" s="43" t="s">
        <v>162</v>
      </c>
      <c r="C135" s="102">
        <f>'Finansallar - 2019-2022'!C193/C$13</f>
        <v>12.015513994294144</v>
      </c>
      <c r="D135" s="102">
        <f>'Finansallar - 2019-2022'!D193/D$13</f>
        <v>25.541576952506354</v>
      </c>
      <c r="E135" s="102">
        <f>'Finansallar - 2019-2022'!E193/E$13</f>
        <v>37.727111363555601</v>
      </c>
      <c r="F135" s="102">
        <f>'Finansallar - 2019-2022'!F193/F$13</f>
        <v>50.978276202567464</v>
      </c>
      <c r="G135" s="102">
        <f>'Finansallar - 2019-2022'!G193/G$13</f>
        <v>12.038541717962628</v>
      </c>
      <c r="H135" s="102">
        <f>'Finansallar - 2019-2022'!H193/H$13</f>
        <v>21.511485995890691</v>
      </c>
      <c r="I135" s="102">
        <f>'Finansallar - 2019-2022'!I193/I$13</f>
        <v>34.09490333919166</v>
      </c>
      <c r="J135" s="102">
        <f>'Finansallar - 2019-2022'!J193/J$13</f>
        <v>44.980723648513631</v>
      </c>
      <c r="K135" s="102">
        <f>'Finansallar - 2019-2022'!K193/K$13</f>
        <v>12.097938144329898</v>
      </c>
      <c r="L135" s="102">
        <f>'Finansallar - 2019-2022'!L193/L$13</f>
        <v>24.13175250657611</v>
      </c>
      <c r="M135" s="102">
        <f>'Finansallar - 2019-2022'!M193/M$13</f>
        <v>35.418129233203146</v>
      </c>
      <c r="N135" s="102">
        <f>'Finansallar - 2019-2022'!N193/N$13</f>
        <v>48.695190668157231</v>
      </c>
      <c r="O135" s="102">
        <f>'Finansallar - 2019-2022'!O193/O$13</f>
        <v>8.7268300740432192</v>
      </c>
      <c r="P135" s="102">
        <f>'Finansallar - 2019-2022'!P193/P$13</f>
        <v>18.181793666952064</v>
      </c>
      <c r="Q135" s="102">
        <f>'Finansallar - 2019-2022'!Q193/Q$13</f>
        <v>26.840034799712527</v>
      </c>
      <c r="R135" s="102">
        <f>'Finansallar - 2019-2022'!R193/R$13</f>
        <v>36.335129779109657</v>
      </c>
    </row>
    <row r="136" spans="1:18" x14ac:dyDescent="0.2">
      <c r="F136" s="69"/>
    </row>
    <row r="137" spans="1:18" x14ac:dyDescent="0.2">
      <c r="F137" s="69"/>
    </row>
    <row r="138" spans="1:18" ht="20.100000000000001" customHeight="1" outlineLevel="1" x14ac:dyDescent="0.2">
      <c r="B138" s="32" t="s">
        <v>165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1:18" outlineLevel="1" x14ac:dyDescent="0.2">
      <c r="B139" s="34" t="s">
        <v>244</v>
      </c>
      <c r="C139" s="35" t="s">
        <v>187</v>
      </c>
      <c r="D139" s="35" t="s">
        <v>189</v>
      </c>
      <c r="E139" s="35" t="s">
        <v>192</v>
      </c>
      <c r="F139" s="35">
        <v>2019</v>
      </c>
      <c r="G139" s="35" t="s">
        <v>194</v>
      </c>
      <c r="H139" s="35" t="s">
        <v>206</v>
      </c>
      <c r="I139" s="35" t="s">
        <v>207</v>
      </c>
      <c r="J139" s="35">
        <v>2020</v>
      </c>
      <c r="K139" s="35" t="s">
        <v>220</v>
      </c>
      <c r="L139" s="35" t="s">
        <v>221</v>
      </c>
      <c r="M139" s="35" t="s">
        <v>223</v>
      </c>
      <c r="N139" s="35">
        <v>2021</v>
      </c>
      <c r="O139" s="35" t="s">
        <v>233</v>
      </c>
      <c r="P139" s="35" t="s">
        <v>234</v>
      </c>
      <c r="Q139" s="35" t="s">
        <v>235</v>
      </c>
      <c r="R139" s="35">
        <v>2022</v>
      </c>
    </row>
    <row r="140" spans="1:18" ht="15" customHeight="1" outlineLevel="1" x14ac:dyDescent="0.2">
      <c r="B140" s="42" t="s">
        <v>196</v>
      </c>
      <c r="C140" s="104"/>
      <c r="D140" s="104"/>
      <c r="E140" s="104"/>
      <c r="F140" s="104">
        <f>'Finansallar - 2019-2022'!F198/F$14</f>
        <v>262.95914278980507</v>
      </c>
      <c r="G140" s="104">
        <f>'Finansallar - 2019-2022'!G198/G$14</f>
        <v>193.00506445672141</v>
      </c>
      <c r="H140" s="104">
        <f>'Finansallar - 2019-2022'!H198/H$14</f>
        <v>71.414749641928168</v>
      </c>
      <c r="I140" s="104">
        <f>'Finansallar - 2019-2022'!I198/I$14</f>
        <v>-61.859631147540846</v>
      </c>
      <c r="J140" s="104">
        <f>'Finansallar - 2019-2022'!J198/J$14</f>
        <v>-45.834479940058614</v>
      </c>
      <c r="K140" s="104">
        <f>'Finansallar - 2019-2022'!K198/K$14</f>
        <v>-102.69949555608936</v>
      </c>
      <c r="L140" s="104">
        <f>'Finansallar - 2019-2022'!L198/L$14</f>
        <v>-142.0553232550655</v>
      </c>
      <c r="M140" s="104">
        <f>'Finansallar - 2019-2022'!M198/M$14</f>
        <v>-176.48738593059153</v>
      </c>
      <c r="N140" s="104">
        <f>'Finansallar - 2019-2022'!N198/N$14</f>
        <v>-181.159699479869</v>
      </c>
      <c r="O140" s="104">
        <f>'Finansallar - 2019-2022'!O198/O$14</f>
        <v>-224.97917491704106</v>
      </c>
      <c r="P140" s="104">
        <f>'Finansallar - 2019-2022'!P198/P$14</f>
        <v>-195.75259463675084</v>
      </c>
      <c r="Q140" s="104">
        <f>'Finansallar - 2019-2022'!Q198/Q$14</f>
        <v>-186.12393130059775</v>
      </c>
      <c r="R140" s="104">
        <f>'Finansallar - 2019-2022'!R198/R$14</f>
        <v>-157.69241053999568</v>
      </c>
    </row>
    <row r="141" spans="1:18" ht="15" customHeight="1" outlineLevel="1" x14ac:dyDescent="0.2">
      <c r="B141" s="24" t="s">
        <v>197</v>
      </c>
      <c r="C141" s="104"/>
      <c r="D141" s="104"/>
      <c r="E141" s="104"/>
      <c r="F141" s="104">
        <f>'Finansallar - 2019-2022'!F199/F$14</f>
        <v>95.893909295983306</v>
      </c>
      <c r="G141" s="104">
        <f>'Finansallar - 2019-2022'!G199/G$14</f>
        <v>62.733118477593443</v>
      </c>
      <c r="H141" s="104">
        <f>'Finansallar - 2019-2022'!H199/H$14</f>
        <v>21.447487650171034</v>
      </c>
      <c r="I141" s="104">
        <f>'Finansallar - 2019-2022'!I199/I$14</f>
        <v>28.688524590163869</v>
      </c>
      <c r="J141" s="104">
        <f>'Finansallar - 2019-2022'!J199/J$14</f>
        <v>47.296778148627517</v>
      </c>
      <c r="K141" s="104">
        <f>'Finansallar - 2019-2022'!K199/K$14</f>
        <v>106.85923612779246</v>
      </c>
      <c r="L141" s="104">
        <f>'Finansallar - 2019-2022'!L199/L$14</f>
        <v>118.91599273997116</v>
      </c>
      <c r="M141" s="104">
        <f>'Finansallar - 2019-2022'!M199/M$14</f>
        <v>167.47401987945676</v>
      </c>
      <c r="N141" s="104">
        <f>'Finansallar - 2019-2022'!N199/N$14</f>
        <v>159.96917742246197</v>
      </c>
      <c r="O141" s="104">
        <f>'Finansallar - 2019-2022'!O199/O$14</f>
        <v>103.57918311051633</v>
      </c>
      <c r="P141" s="104">
        <f>'Finansallar - 2019-2022'!P199/P$14</f>
        <v>85.428040074389585</v>
      </c>
      <c r="Q141" s="104">
        <f>'Finansallar - 2019-2022'!Q199/Q$14</f>
        <v>131.64863433456912</v>
      </c>
      <c r="R141" s="104">
        <f>'Finansallar - 2019-2022'!R199/R$14</f>
        <v>109.27212634303658</v>
      </c>
    </row>
    <row r="142" spans="1:18" ht="15" customHeight="1" outlineLevel="1" x14ac:dyDescent="0.2">
      <c r="B142" s="24" t="s">
        <v>198</v>
      </c>
      <c r="C142" s="104"/>
      <c r="D142" s="104"/>
      <c r="E142" s="104"/>
      <c r="F142" s="104">
        <f>'Finansallar - 2019-2022'!F200/F$14</f>
        <v>-7.9228477155651333</v>
      </c>
      <c r="G142" s="104">
        <f>'Finansallar - 2019-2022'!G200/G$14</f>
        <v>-9.2561387354204783</v>
      </c>
      <c r="H142" s="104">
        <f>'Finansallar - 2019-2022'!H200/H$14</f>
        <v>-17.897898336792291</v>
      </c>
      <c r="I142" s="104">
        <f>'Finansallar - 2019-2022'!I200/I$14</f>
        <v>-19.595286885245859</v>
      </c>
      <c r="J142" s="104">
        <f>'Finansallar - 2019-2022'!J200/J$14</f>
        <v>-23.992616306791106</v>
      </c>
      <c r="K142" s="104">
        <f>'Finansallar - 2019-2022'!K200/K$14</f>
        <v>-23.902882536632234</v>
      </c>
      <c r="L142" s="104">
        <f>'Finansallar - 2019-2022'!L200/L$14</f>
        <v>-27.901943665854805</v>
      </c>
      <c r="M142" s="104">
        <f>'Finansallar - 2019-2022'!M200/M$14</f>
        <v>-31.924620899437997</v>
      </c>
      <c r="N142" s="104">
        <f>'Finansallar - 2019-2022'!N200/N$14</f>
        <v>-20.342901175110772</v>
      </c>
      <c r="O142" s="104">
        <f>'Finansallar - 2019-2022'!O200/O$14</f>
        <v>-18.162203498613938</v>
      </c>
      <c r="P142" s="104">
        <f>'Finansallar - 2019-2022'!P200/P$14</f>
        <v>-16.917631531585577</v>
      </c>
      <c r="Q142" s="104">
        <f>'Finansallar - 2019-2022'!Q200/Q$14</f>
        <v>-19.833763875528273</v>
      </c>
      <c r="R142" s="104">
        <f>'Finansallar - 2019-2022'!R200/R$14</f>
        <v>-6.3001449329618229</v>
      </c>
    </row>
    <row r="143" spans="1:18" ht="15" customHeight="1" outlineLevel="1" x14ac:dyDescent="0.2">
      <c r="B143" s="24" t="s">
        <v>199</v>
      </c>
      <c r="C143" s="104"/>
      <c r="D143" s="104"/>
      <c r="E143" s="104"/>
      <c r="F143" s="104">
        <f>'Finansallar - 2019-2022'!F201/F$14</f>
        <v>1.9001380424901519</v>
      </c>
      <c r="G143" s="104">
        <f>'Finansallar - 2019-2022'!G201/G$14</f>
        <v>6.9147022713320858</v>
      </c>
      <c r="H143" s="104">
        <f>'Finansallar - 2019-2022'!H201/H$14</f>
        <v>23.147233345999865</v>
      </c>
      <c r="I143" s="104">
        <f>'Finansallar - 2019-2022'!I201/I$14</f>
        <v>23.053278688524539</v>
      </c>
      <c r="J143" s="104">
        <f>'Finansallar - 2019-2022'!J201/J$14</f>
        <v>24.316599686669864</v>
      </c>
      <c r="K143" s="104">
        <f>'Finansallar - 2019-2022'!K201/K$14</f>
        <v>11.875582512611098</v>
      </c>
      <c r="L143" s="104">
        <f>'Finansallar - 2019-2022'!L201/L$14</f>
        <v>10.326931029729325</v>
      </c>
      <c r="M143" s="104">
        <f>'Finansallar - 2019-2022'!M201/M$14</f>
        <v>16.232967331199891</v>
      </c>
      <c r="N143" s="104">
        <f>'Finansallar - 2019-2022'!N201/N$14</f>
        <v>13.022539009824698</v>
      </c>
      <c r="O143" s="104">
        <f>'Finansallar - 2019-2022'!O201/O$14</f>
        <v>9.4907755124335988</v>
      </c>
      <c r="P143" s="104">
        <f>'Finansallar - 2019-2022'!P201/P$14</f>
        <v>8.2788409622652832</v>
      </c>
      <c r="Q143" s="104">
        <f>'Finansallar - 2019-2022'!Q201/Q$14</f>
        <v>12.700094034738811</v>
      </c>
      <c r="R143" s="104">
        <f>'Finansallar - 2019-2022'!R201/R$14</f>
        <v>13.271099511720321</v>
      </c>
    </row>
    <row r="144" spans="1:18" ht="15" customHeight="1" outlineLevel="1" x14ac:dyDescent="0.2">
      <c r="B144" s="24" t="s">
        <v>200</v>
      </c>
      <c r="C144" s="104"/>
      <c r="D144" s="104"/>
      <c r="E144" s="104"/>
      <c r="F144" s="104">
        <f>'Finansallar - 2019-2022'!F202/F$14</f>
        <v>207.59253897175179</v>
      </c>
      <c r="G144" s="104">
        <f>'Finansallar - 2019-2022'!G202/G$14</f>
        <v>257.89217311233813</v>
      </c>
      <c r="H144" s="104">
        <f>'Finansallar - 2019-2022'!H202/H$14</f>
        <v>167.70000876910964</v>
      </c>
      <c r="I144" s="104">
        <f>'Finansallar - 2019-2022'!I202/I$14</f>
        <v>144.72336065573737</v>
      </c>
      <c r="J144" s="104">
        <f>'Finansallar - 2019-2022'!J202/J$14</f>
        <v>140.75430828962618</v>
      </c>
      <c r="K144" s="104">
        <f>'Finansallar - 2019-2022'!K202/K$14</f>
        <v>128.88674033149172</v>
      </c>
      <c r="L144" s="104">
        <f>'Finansallar - 2019-2022'!L202/L$14</f>
        <v>122.5649611726321</v>
      </c>
      <c r="M144" s="104">
        <f>'Finansallar - 2019-2022'!M202/M$14</f>
        <v>159.42351836983931</v>
      </c>
      <c r="N144" s="104">
        <f>'Finansallar - 2019-2022'!N202/N$14</f>
        <v>157.81159699479869</v>
      </c>
      <c r="O144" s="104">
        <f>'Finansallar - 2019-2022'!O202/O$14</f>
        <v>175.06725477611329</v>
      </c>
      <c r="P144" s="104">
        <f>'Finansallar - 2019-2022'!P202/P$14</f>
        <v>183.09436678864958</v>
      </c>
      <c r="Q144" s="104">
        <f>'Finansallar - 2019-2022'!Q202/Q$14</f>
        <v>165.15526540494386</v>
      </c>
      <c r="R144" s="104">
        <f>'Finansallar - 2019-2022'!R202/R$14</f>
        <v>110.91190108191658</v>
      </c>
    </row>
    <row r="145" spans="1:18" ht="15" customHeight="1" outlineLevel="1" x14ac:dyDescent="0.2">
      <c r="A145" s="55" t="s">
        <v>164</v>
      </c>
      <c r="B145" s="43" t="s">
        <v>166</v>
      </c>
      <c r="C145" s="102"/>
      <c r="D145" s="102"/>
      <c r="E145" s="102"/>
      <c r="F145" s="102">
        <f>'Finansallar - 2019-2022'!F203/F$14</f>
        <v>560.42271303996506</v>
      </c>
      <c r="G145" s="102">
        <f>'Finansallar - 2019-2022'!G203/G$14</f>
        <v>511.28878146101766</v>
      </c>
      <c r="H145" s="102">
        <f>'Finansallar - 2019-2022'!H203/H$14</f>
        <v>265.81158107041642</v>
      </c>
      <c r="I145" s="102">
        <f>'Finansallar - 2019-2022'!I203/I$14</f>
        <v>115.13831967213089</v>
      </c>
      <c r="J145" s="102">
        <f>'Finansallar - 2019-2022'!J203/J$14</f>
        <v>142.54058987807383</v>
      </c>
      <c r="K145" s="102">
        <f>'Finansallar - 2019-2022'!K203/K$14</f>
        <v>121.01918087917369</v>
      </c>
      <c r="L145" s="102">
        <f>'Finansallar - 2019-2022'!L203/L$14</f>
        <v>81.850618021412231</v>
      </c>
      <c r="M145" s="102">
        <f>'Finansallar - 2019-2022'!M203/M$14</f>
        <v>134.71849875046649</v>
      </c>
      <c r="N145" s="102">
        <f>'Finansallar - 2019-2022'!N203/N$14</f>
        <v>129.30071277210558</v>
      </c>
      <c r="O145" s="102">
        <f>'Finansallar - 2019-2022'!O203/O$14</f>
        <v>44.995834983408216</v>
      </c>
      <c r="P145" s="102">
        <f>'Finansallar - 2019-2022'!P203/P$14</f>
        <v>64.131021656968016</v>
      </c>
      <c r="Q145" s="102">
        <f>'Finansallar - 2019-2022'!Q203/Q$14</f>
        <v>103.60034155146512</v>
      </c>
      <c r="R145" s="102">
        <f>'Finansallar - 2019-2022'!R203/R$14</f>
        <v>69.462571463715989</v>
      </c>
    </row>
    <row r="146" spans="1:18" x14ac:dyDescent="0.2">
      <c r="A146" s="55"/>
      <c r="B146" s="2"/>
    </row>
    <row r="148" spans="1:18" x14ac:dyDescent="0.2">
      <c r="G148" s="3"/>
      <c r="K148" s="3"/>
      <c r="O148" s="3"/>
    </row>
    <row r="149" spans="1:18" ht="15" x14ac:dyDescent="0.25">
      <c r="C149"/>
    </row>
  </sheetData>
  <hyperlinks>
    <hyperlink ref="B4" location="'Finansal Veriler - Yeni - USD'!A44" display="Konsolide Özet Gelir Tablosu (Çeyreklik)" xr:uid="{F254E564-DC9A-4EC5-A5A8-2FCF8D74C954}"/>
    <hyperlink ref="B3" location="'Finansal Veriler - Yeni - USD'!A28" display="Konsolide Özet Gelir Tablosu (Kümülatif)" xr:uid="{ED57BC9A-10CB-4E24-8661-2E893EA2B60F}"/>
    <hyperlink ref="B5" location="'Finansal Veriler - Yeni - USD'!A66" display="Konsolide Gelir, FAVÖK ve Net Kar Dağılımı (Kümülatif)" xr:uid="{46606D54-1C54-412D-8128-9F1025950F7C}"/>
    <hyperlink ref="B7" location="'Finansal Veriler - Yeni - USD'!A103" display="Konsolide Gelir, FAVÖK ve Net Kar Dağılımı (Çeyreklik)" xr:uid="{4C0ADEE0-9F2F-41C0-B413-361DC8F289C0}"/>
    <hyperlink ref="A29" location="'Finansal Veriler - Yeni - USD'!A1" display="Yukarı" xr:uid="{AD169649-3297-4440-B0F4-A301376DAFBB}"/>
    <hyperlink ref="B9" location="'Finansal Veriler - Yeni - USD'!A134" display="Maddi, maddi olmayan duran varlıklar ile ilgili bölümler bazında bilgi" xr:uid="{35C460C0-BB02-4C76-B7EA-A59F59669CEF}"/>
    <hyperlink ref="B10" location="'Finansal Veriler - Yeni - USD'!A144" display="Net Nakit Durumu" xr:uid="{F3EBC187-7D7B-4F07-9536-DCB21789F4D6}"/>
    <hyperlink ref="A45" location="'Finansal Veriler - Yeni - USD'!A1" display="Yukarı" xr:uid="{A07EB3AF-E7C2-4AED-9BF5-FCB0E83B26AF}"/>
    <hyperlink ref="A67" location="'Finansal Veriler - Yeni - USD'!A1" display="Yukarı" xr:uid="{83D0201B-8A2F-4B6F-B50A-4463483D0E21}"/>
    <hyperlink ref="A104" location="'Finansal Veriler - Yeni - USD'!A1" display="Yukarı" xr:uid="{5BDC89F3-5A0F-49D4-9BFA-723E1BC4D944}"/>
    <hyperlink ref="A145" location="'Finansal Veriler - Yeni - USD'!A1" display="Yukarı" xr:uid="{16649B90-15FF-44E4-B254-16B0798ACCC0}"/>
    <hyperlink ref="A135" location="'Finansal Veriler - Yeni - USD'!A1" display="Yukarı" xr:uid="{E12EB072-52CF-4EA9-B342-2AE105EE03A0}"/>
    <hyperlink ref="A119" location="'Finansal Veriler - Yeni - USD'!A1" display="Yukarı" xr:uid="{32E0FA34-FA5E-41A3-817C-2D30F736885D}"/>
    <hyperlink ref="A82" location="'Finansal Veriler - Yeni - USD'!A1" display="Yukarı" xr:uid="{C9387B6F-DBE9-4222-A28A-38D1E523924C}"/>
    <hyperlink ref="B6" location="'Finansal Veriler - Yeni - USD'!A81" display="Konsolide FAVÖK ve Net Kar Marjları Dağılımı (Kümülatif)" xr:uid="{A5954438-CAC6-404D-B323-B1A4357FA842}"/>
    <hyperlink ref="B8" location="'Finansal Veriler - Yeni - USD'!A118" display="Konsolide FAVÖK ve Net Kar Marjları Dağılımı (Çeyreklik)" xr:uid="{C4329E7C-901C-4B7D-AB43-A94D88DC507D}"/>
  </hyperlinks>
  <pageMargins left="0.25" right="0.25" top="0.75" bottom="0.75" header="0.3" footer="0.3"/>
  <pageSetup paperSize="8" scale="33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 tint="0.79998168889431442"/>
    <pageSetUpPr fitToPage="1"/>
  </sheetPr>
  <dimension ref="A2:AX196"/>
  <sheetViews>
    <sheetView zoomScale="80" zoomScaleNormal="80" workbookViewId="0">
      <pane xSplit="2" topLeftCell="X1" activePane="topRight" state="frozen"/>
      <selection pane="topRight"/>
    </sheetView>
  </sheetViews>
  <sheetFormatPr defaultColWidth="9.140625" defaultRowHeight="12.75" x14ac:dyDescent="0.2"/>
  <cols>
    <col min="1" max="1" width="8.7109375" style="56" customWidth="1"/>
    <col min="2" max="2" width="88.5703125" style="1" customWidth="1"/>
    <col min="3" max="49" width="9.140625" style="1"/>
    <col min="50" max="50" width="10.28515625" style="1" bestFit="1" customWidth="1"/>
    <col min="51" max="16384" width="9.140625" style="1"/>
  </cols>
  <sheetData>
    <row r="2" spans="2:48" ht="24.95" customHeight="1" x14ac:dyDescent="0.25">
      <c r="B2" s="141" t="s">
        <v>163</v>
      </c>
      <c r="C2" s="142"/>
    </row>
    <row r="3" spans="2:48" ht="15" customHeight="1" x14ac:dyDescent="0.2">
      <c r="B3" s="55" t="s">
        <v>149</v>
      </c>
    </row>
    <row r="4" spans="2:48" ht="15" customHeight="1" x14ac:dyDescent="0.2">
      <c r="B4" s="55" t="s">
        <v>150</v>
      </c>
    </row>
    <row r="5" spans="2:48" ht="15" customHeight="1" x14ac:dyDescent="0.2">
      <c r="B5" s="55" t="s">
        <v>151</v>
      </c>
    </row>
    <row r="6" spans="2:48" ht="15" customHeight="1" x14ac:dyDescent="0.2">
      <c r="B6" s="55" t="s">
        <v>152</v>
      </c>
    </row>
    <row r="7" spans="2:48" ht="15" customHeight="1" x14ac:dyDescent="0.2">
      <c r="B7" s="55" t="s">
        <v>111</v>
      </c>
    </row>
    <row r="8" spans="2:48" ht="15" customHeight="1" x14ac:dyDescent="0.2">
      <c r="B8" s="55" t="s">
        <v>154</v>
      </c>
    </row>
    <row r="9" spans="2:48" ht="15" customHeight="1" x14ac:dyDescent="0.2">
      <c r="B9" s="55" t="s">
        <v>123</v>
      </c>
    </row>
    <row r="10" spans="2:48" ht="15" customHeight="1" x14ac:dyDescent="0.2">
      <c r="B10" s="55" t="s">
        <v>160</v>
      </c>
    </row>
    <row r="11" spans="2:48" ht="15" customHeight="1" x14ac:dyDescent="0.2">
      <c r="B11" s="55" t="s">
        <v>165</v>
      </c>
    </row>
    <row r="12" spans="2:48" ht="15" customHeight="1" x14ac:dyDescent="0.2">
      <c r="B12" s="55" t="s">
        <v>138</v>
      </c>
    </row>
    <row r="13" spans="2:48" ht="15" customHeight="1" x14ac:dyDescent="0.2">
      <c r="B13" s="55"/>
    </row>
    <row r="14" spans="2:48" ht="15" customHeight="1" x14ac:dyDescent="0.2">
      <c r="B14" s="55"/>
    </row>
    <row r="16" spans="2:48" ht="20.100000000000001" customHeight="1" x14ac:dyDescent="0.2">
      <c r="B16" s="32" t="s">
        <v>149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</row>
    <row r="17" spans="1:48" x14ac:dyDescent="0.2">
      <c r="B17" s="31" t="s">
        <v>65</v>
      </c>
      <c r="C17" s="35" t="s">
        <v>99</v>
      </c>
      <c r="D17" s="35">
        <v>2008</v>
      </c>
      <c r="E17" s="35" t="s">
        <v>100</v>
      </c>
      <c r="F17" s="35" t="s">
        <v>101</v>
      </c>
      <c r="G17" s="35" t="s">
        <v>102</v>
      </c>
      <c r="H17" s="35">
        <v>2009</v>
      </c>
      <c r="I17" s="35" t="s">
        <v>103</v>
      </c>
      <c r="J17" s="35" t="s">
        <v>104</v>
      </c>
      <c r="K17" s="35" t="s">
        <v>105</v>
      </c>
      <c r="L17" s="35">
        <v>2010</v>
      </c>
      <c r="M17" s="35" t="s">
        <v>106</v>
      </c>
      <c r="N17" s="35" t="s">
        <v>107</v>
      </c>
      <c r="O17" s="35" t="s">
        <v>108</v>
      </c>
      <c r="P17" s="35">
        <v>2011</v>
      </c>
      <c r="Q17" s="35" t="s">
        <v>96</v>
      </c>
      <c r="R17" s="35" t="s">
        <v>97</v>
      </c>
      <c r="S17" s="35" t="s">
        <v>98</v>
      </c>
      <c r="T17" s="35">
        <v>2012</v>
      </c>
      <c r="U17" s="35" t="s">
        <v>93</v>
      </c>
      <c r="V17" s="35" t="s">
        <v>94</v>
      </c>
      <c r="W17" s="35" t="s">
        <v>95</v>
      </c>
      <c r="X17" s="35">
        <v>2013</v>
      </c>
      <c r="Y17" s="35" t="s">
        <v>90</v>
      </c>
      <c r="Z17" s="35" t="s">
        <v>91</v>
      </c>
      <c r="AA17" s="35" t="s">
        <v>92</v>
      </c>
      <c r="AB17" s="35">
        <v>2014</v>
      </c>
      <c r="AC17" s="35" t="s">
        <v>87</v>
      </c>
      <c r="AD17" s="35" t="s">
        <v>88</v>
      </c>
      <c r="AE17" s="35" t="s">
        <v>89</v>
      </c>
      <c r="AF17" s="35">
        <v>2015</v>
      </c>
      <c r="AG17" s="35" t="s">
        <v>84</v>
      </c>
      <c r="AH17" s="35" t="s">
        <v>85</v>
      </c>
      <c r="AI17" s="35" t="s">
        <v>86</v>
      </c>
      <c r="AJ17" s="35">
        <v>2016</v>
      </c>
      <c r="AK17" s="35" t="s">
        <v>83</v>
      </c>
      <c r="AL17" s="35" t="s">
        <v>82</v>
      </c>
      <c r="AM17" s="35" t="s">
        <v>81</v>
      </c>
      <c r="AN17" s="35">
        <v>2017</v>
      </c>
      <c r="AO17" s="35" t="s">
        <v>171</v>
      </c>
      <c r="AP17" s="35" t="s">
        <v>174</v>
      </c>
      <c r="AQ17" s="35" t="s">
        <v>176</v>
      </c>
      <c r="AR17" s="35">
        <v>2018</v>
      </c>
      <c r="AS17" s="35" t="s">
        <v>187</v>
      </c>
      <c r="AT17" s="35" t="s">
        <v>189</v>
      </c>
      <c r="AU17" s="35" t="s">
        <v>192</v>
      </c>
      <c r="AV17" s="35">
        <v>2019</v>
      </c>
    </row>
    <row r="18" spans="1:48" ht="15" customHeight="1" x14ac:dyDescent="0.2">
      <c r="B18" s="9" t="s">
        <v>66</v>
      </c>
      <c r="C18" s="10">
        <v>1778.875</v>
      </c>
      <c r="D18" s="37">
        <v>2517.8910000000001</v>
      </c>
      <c r="E18" s="37">
        <v>643.98500000000001</v>
      </c>
      <c r="F18" s="37">
        <v>1203.22</v>
      </c>
      <c r="G18" s="37">
        <v>1801.9559999999999</v>
      </c>
      <c r="H18" s="37">
        <v>2350.0259999999998</v>
      </c>
      <c r="I18" s="37">
        <v>602.01300000000003</v>
      </c>
      <c r="J18" s="37">
        <v>1103.3440000000001</v>
      </c>
      <c r="K18" s="37">
        <v>1638.585</v>
      </c>
      <c r="L18" s="37">
        <v>2261.7040000000002</v>
      </c>
      <c r="M18" s="37">
        <v>689.84699999999998</v>
      </c>
      <c r="N18" s="37">
        <v>1393.2470000000001</v>
      </c>
      <c r="O18" s="37">
        <v>2188.2759999999998</v>
      </c>
      <c r="P18" s="37">
        <v>3211.241</v>
      </c>
      <c r="Q18" s="37">
        <v>1000.179</v>
      </c>
      <c r="R18" s="37">
        <v>1970.548</v>
      </c>
      <c r="S18" s="37">
        <v>2923.828</v>
      </c>
      <c r="T18" s="37">
        <v>3948.7370000000001</v>
      </c>
      <c r="U18" s="37">
        <v>1058.53</v>
      </c>
      <c r="V18" s="37">
        <v>1964.43</v>
      </c>
      <c r="W18" s="37">
        <v>2870.5120000000002</v>
      </c>
      <c r="X18" s="37">
        <v>3846.0360000000001</v>
      </c>
      <c r="Y18" s="37">
        <v>1148.5540000000001</v>
      </c>
      <c r="Z18" s="37">
        <v>2142.1309999999999</v>
      </c>
      <c r="AA18" s="37">
        <v>3196.8690000000001</v>
      </c>
      <c r="AB18" s="37">
        <v>4474.7550000000001</v>
      </c>
      <c r="AC18" s="37">
        <v>1091.192</v>
      </c>
      <c r="AD18" s="37">
        <v>2040.182</v>
      </c>
      <c r="AE18" s="37">
        <v>2846.6350000000002</v>
      </c>
      <c r="AF18" s="37">
        <v>3888.172</v>
      </c>
      <c r="AG18" s="37">
        <v>1373.471</v>
      </c>
      <c r="AH18" s="37">
        <v>2438.2890000000002</v>
      </c>
      <c r="AI18" s="37">
        <v>3413.893</v>
      </c>
      <c r="AJ18" s="37">
        <v>4737.3969999999999</v>
      </c>
      <c r="AK18" s="37">
        <v>1636.9749999999999</v>
      </c>
      <c r="AL18" s="37">
        <v>3344.297</v>
      </c>
      <c r="AM18" s="10">
        <v>5070.4070000000002</v>
      </c>
      <c r="AN18" s="10">
        <v>7487.1329999999998</v>
      </c>
      <c r="AO18" s="3">
        <v>2265.9290000000001</v>
      </c>
      <c r="AP18" s="3">
        <v>5102.5079999999998</v>
      </c>
      <c r="AQ18" s="3">
        <v>8358.4709999999995</v>
      </c>
      <c r="AR18" s="3">
        <v>12147.171</v>
      </c>
      <c r="AS18" s="3">
        <v>4587.4780000000001</v>
      </c>
      <c r="AT18" s="3">
        <v>8305.8829999999998</v>
      </c>
      <c r="AU18" s="3">
        <v>11296.815000000001</v>
      </c>
      <c r="AV18" s="3">
        <v>14603.353999999999</v>
      </c>
    </row>
    <row r="19" spans="1:48" ht="15" customHeight="1" x14ac:dyDescent="0.2">
      <c r="B19" s="2" t="s">
        <v>67</v>
      </c>
      <c r="C19" s="4">
        <v>366.29599999999999</v>
      </c>
      <c r="D19" s="4">
        <v>315.99</v>
      </c>
      <c r="E19" s="4">
        <v>114.462</v>
      </c>
      <c r="F19" s="4">
        <v>125.795</v>
      </c>
      <c r="G19" s="4">
        <v>203.96600000000001</v>
      </c>
      <c r="H19" s="4">
        <v>280.39699999999999</v>
      </c>
      <c r="I19" s="4">
        <v>136.45699999999999</v>
      </c>
      <c r="J19" s="4">
        <v>226.55600000000001</v>
      </c>
      <c r="K19" s="4">
        <v>298.916</v>
      </c>
      <c r="L19" s="4">
        <v>402.37799999999999</v>
      </c>
      <c r="M19" s="4">
        <v>130.01900000000001</v>
      </c>
      <c r="N19" s="4">
        <v>257.923</v>
      </c>
      <c r="O19" s="4">
        <v>373.50799999999998</v>
      </c>
      <c r="P19" s="4">
        <v>501.459</v>
      </c>
      <c r="Q19" s="4">
        <v>130.18799999999999</v>
      </c>
      <c r="R19" s="4">
        <v>250.20400000000001</v>
      </c>
      <c r="S19" s="4">
        <v>335.77300000000002</v>
      </c>
      <c r="T19" s="4">
        <v>385.262</v>
      </c>
      <c r="U19" s="4">
        <v>159.095</v>
      </c>
      <c r="V19" s="4">
        <v>88.876999999999995</v>
      </c>
      <c r="W19" s="4">
        <v>144.20699999999999</v>
      </c>
      <c r="X19" s="4">
        <v>127.232</v>
      </c>
      <c r="Y19" s="4">
        <v>215.55099999999999</v>
      </c>
      <c r="Z19" s="4">
        <v>320.298</v>
      </c>
      <c r="AA19" s="4">
        <v>426.661</v>
      </c>
      <c r="AB19" s="4">
        <v>452.42399999999998</v>
      </c>
      <c r="AC19" s="4">
        <v>115.236</v>
      </c>
      <c r="AD19" s="4">
        <v>212.45599999999999</v>
      </c>
      <c r="AE19" s="4">
        <v>322.12599999999998</v>
      </c>
      <c r="AF19" s="4">
        <v>408.87400000000002</v>
      </c>
      <c r="AG19" s="4">
        <v>223.19300000000001</v>
      </c>
      <c r="AH19" s="4">
        <v>372.995</v>
      </c>
      <c r="AI19" s="4">
        <v>445.36</v>
      </c>
      <c r="AJ19" s="4">
        <v>653.54499999999996</v>
      </c>
      <c r="AK19" s="4">
        <v>265.68299999999999</v>
      </c>
      <c r="AL19" s="4">
        <v>498.83600000000001</v>
      </c>
      <c r="AM19" s="4">
        <v>732.50300000000004</v>
      </c>
      <c r="AN19" s="4">
        <v>1028.4349999999999</v>
      </c>
      <c r="AO19" s="4">
        <v>340.9</v>
      </c>
      <c r="AP19" s="4">
        <v>733.74699999999996</v>
      </c>
      <c r="AQ19" s="4">
        <v>1217.3970000000018</v>
      </c>
      <c r="AR19" s="4">
        <v>1803.3420000000001</v>
      </c>
      <c r="AS19" s="4">
        <v>1063.692</v>
      </c>
      <c r="AT19" s="4">
        <v>1632.9970000000001</v>
      </c>
      <c r="AU19" s="4">
        <v>2147.5610000000001</v>
      </c>
      <c r="AV19" s="4">
        <v>2401.5619999999999</v>
      </c>
    </row>
    <row r="20" spans="1:48" ht="15" customHeight="1" x14ac:dyDescent="0.2">
      <c r="B20" s="22" t="s">
        <v>68</v>
      </c>
      <c r="C20" s="38">
        <f t="shared" ref="C20:AL20" si="0">+C19/C18</f>
        <v>0.20591441219872109</v>
      </c>
      <c r="D20" s="38">
        <f t="shared" si="0"/>
        <v>0.12549788692203118</v>
      </c>
      <c r="E20" s="38">
        <f t="shared" si="0"/>
        <v>0.17774016475539026</v>
      </c>
      <c r="F20" s="38">
        <f t="shared" si="0"/>
        <v>0.10454862784860623</v>
      </c>
      <c r="G20" s="38">
        <f t="shared" si="0"/>
        <v>0.11319144307630154</v>
      </c>
      <c r="H20" s="38">
        <f t="shared" si="0"/>
        <v>0.11931655224240073</v>
      </c>
      <c r="I20" s="38">
        <f t="shared" si="0"/>
        <v>0.22666786265412872</v>
      </c>
      <c r="J20" s="38">
        <f t="shared" si="0"/>
        <v>0.20533577923113736</v>
      </c>
      <c r="K20" s="38">
        <f t="shared" si="0"/>
        <v>0.18242324932792622</v>
      </c>
      <c r="L20" s="38">
        <f t="shared" si="0"/>
        <v>0.17790922242698423</v>
      </c>
      <c r="M20" s="38">
        <f t="shared" si="0"/>
        <v>0.1884751256438022</v>
      </c>
      <c r="N20" s="38">
        <f t="shared" si="0"/>
        <v>0.18512367153849962</v>
      </c>
      <c r="O20" s="38">
        <f t="shared" si="0"/>
        <v>0.17068596465893698</v>
      </c>
      <c r="P20" s="38">
        <f t="shared" si="0"/>
        <v>0.1561573858829032</v>
      </c>
      <c r="Q20" s="38">
        <f t="shared" si="0"/>
        <v>0.13016470051860715</v>
      </c>
      <c r="R20" s="38">
        <f t="shared" si="0"/>
        <v>0.12697178652841748</v>
      </c>
      <c r="S20" s="38">
        <f t="shared" si="0"/>
        <v>0.11484020263845891</v>
      </c>
      <c r="T20" s="38">
        <f t="shared" si="0"/>
        <v>9.756587992565724E-2</v>
      </c>
      <c r="U20" s="38">
        <f t="shared" si="0"/>
        <v>0.15029805484964998</v>
      </c>
      <c r="V20" s="38">
        <f t="shared" si="0"/>
        <v>4.5243149412297713E-2</v>
      </c>
      <c r="W20" s="38">
        <f t="shared" si="0"/>
        <v>5.0237379254990049E-2</v>
      </c>
      <c r="X20" s="38">
        <f t="shared" si="0"/>
        <v>3.3081333612061871E-2</v>
      </c>
      <c r="Y20" s="38">
        <f t="shared" si="0"/>
        <v>0.1876716288480994</v>
      </c>
      <c r="Z20" s="38">
        <f t="shared" si="0"/>
        <v>0.14952306838377299</v>
      </c>
      <c r="AA20" s="38">
        <f t="shared" si="0"/>
        <v>0.13346214686932745</v>
      </c>
      <c r="AB20" s="38">
        <f t="shared" si="0"/>
        <v>0.10110587060073679</v>
      </c>
      <c r="AC20" s="38">
        <f t="shared" si="0"/>
        <v>0.10560561294437643</v>
      </c>
      <c r="AD20" s="38">
        <f t="shared" si="0"/>
        <v>0.10413580749168456</v>
      </c>
      <c r="AE20" s="38">
        <f t="shared" si="0"/>
        <v>0.1131602752021246</v>
      </c>
      <c r="AF20" s="38">
        <f t="shared" si="0"/>
        <v>0.10515841377387626</v>
      </c>
      <c r="AG20" s="38">
        <f t="shared" si="0"/>
        <v>0.16250288502633112</v>
      </c>
      <c r="AH20" s="38">
        <f t="shared" si="0"/>
        <v>0.15297407321281439</v>
      </c>
      <c r="AI20" s="38">
        <f t="shared" si="0"/>
        <v>0.13045517243803481</v>
      </c>
      <c r="AJ20" s="38">
        <f t="shared" si="0"/>
        <v>0.13795445051364705</v>
      </c>
      <c r="AK20" s="38">
        <f t="shared" si="0"/>
        <v>0.16230119580323463</v>
      </c>
      <c r="AL20" s="38">
        <f t="shared" si="0"/>
        <v>0.1491601971954046</v>
      </c>
      <c r="AM20" s="38">
        <f t="shared" ref="AM20:AP20" si="1">+AM19/AM18</f>
        <v>0.14446631207317281</v>
      </c>
      <c r="AN20" s="38">
        <f t="shared" si="1"/>
        <v>0.13736032203515017</v>
      </c>
      <c r="AO20" s="38">
        <f t="shared" si="1"/>
        <v>0.15044602015332342</v>
      </c>
      <c r="AP20" s="38">
        <f t="shared" si="1"/>
        <v>0.14380124440765207</v>
      </c>
      <c r="AQ20" s="38">
        <v>0.14564828902319596</v>
      </c>
      <c r="AR20" s="38">
        <v>0.14845777671196034</v>
      </c>
      <c r="AS20" s="38">
        <v>0.23186857789835721</v>
      </c>
      <c r="AT20" s="38">
        <v>0.19660727221898022</v>
      </c>
      <c r="AU20" s="38">
        <v>0.19010322821078332</v>
      </c>
      <c r="AV20" s="38">
        <v>0.16445276886391988</v>
      </c>
    </row>
    <row r="21" spans="1:48" ht="15" customHeight="1" x14ac:dyDescent="0.2">
      <c r="B21" s="2" t="s">
        <v>69</v>
      </c>
      <c r="C21" s="39">
        <v>263.726</v>
      </c>
      <c r="D21" s="39">
        <v>170.02699999999999</v>
      </c>
      <c r="E21" s="39">
        <v>77.173000000000002</v>
      </c>
      <c r="F21" s="39">
        <v>55.509</v>
      </c>
      <c r="G21" s="39">
        <v>96.073999999999998</v>
      </c>
      <c r="H21" s="39">
        <v>125.45399999999999</v>
      </c>
      <c r="I21" s="39">
        <v>87.165000000000006</v>
      </c>
      <c r="J21" s="39">
        <v>141.60300000000001</v>
      </c>
      <c r="K21" s="39">
        <v>173.40899999999999</v>
      </c>
      <c r="L21" s="39">
        <v>225.928</v>
      </c>
      <c r="M21" s="39">
        <v>79.144000000000005</v>
      </c>
      <c r="N21" s="39">
        <v>160.33500000000001</v>
      </c>
      <c r="O21" s="39">
        <v>236.86799999999999</v>
      </c>
      <c r="P21" s="39">
        <v>302.30599999999998</v>
      </c>
      <c r="Q21" s="39">
        <v>102.78100000000001</v>
      </c>
      <c r="R21" s="39">
        <v>171.72900000000001</v>
      </c>
      <c r="S21" s="39">
        <v>214.97</v>
      </c>
      <c r="T21" s="39">
        <v>200.04599999999999</v>
      </c>
      <c r="U21" s="39">
        <v>107.09399999999999</v>
      </c>
      <c r="V21" s="39">
        <v>-43.863999999999997</v>
      </c>
      <c r="W21" s="39">
        <v>-40.648000000000003</v>
      </c>
      <c r="X21" s="39">
        <v>-123.547</v>
      </c>
      <c r="Y21" s="39">
        <v>139.90700000000001</v>
      </c>
      <c r="Z21" s="39">
        <v>203.13499999999999</v>
      </c>
      <c r="AA21" s="39">
        <v>259.28300000000002</v>
      </c>
      <c r="AB21" s="39">
        <v>24.515000000000001</v>
      </c>
      <c r="AC21" s="39">
        <v>26.718</v>
      </c>
      <c r="AD21" s="39">
        <v>57.488999999999997</v>
      </c>
      <c r="AE21" s="39">
        <v>70.027000000000001</v>
      </c>
      <c r="AF21" s="39">
        <v>116.523</v>
      </c>
      <c r="AG21" s="39">
        <v>165.78</v>
      </c>
      <c r="AH21" s="39">
        <v>249.91499999999999</v>
      </c>
      <c r="AI21" s="39">
        <v>252.37200000000001</v>
      </c>
      <c r="AJ21" s="39">
        <v>313.29300000000001</v>
      </c>
      <c r="AK21" s="39">
        <v>163.66999999999999</v>
      </c>
      <c r="AL21" s="39">
        <v>433.404</v>
      </c>
      <c r="AM21" s="39">
        <v>566.32799999999997</v>
      </c>
      <c r="AN21" s="39">
        <v>778.197</v>
      </c>
      <c r="AO21" s="39">
        <v>211.4</v>
      </c>
      <c r="AP21" s="39">
        <v>384</v>
      </c>
      <c r="AQ21" s="39">
        <v>493.19100000000179</v>
      </c>
      <c r="AR21" s="4">
        <v>1112.0619999999999</v>
      </c>
      <c r="AS21" s="39">
        <v>851.38400000000001</v>
      </c>
      <c r="AT21" s="4">
        <v>1283.489</v>
      </c>
      <c r="AU21" s="4">
        <v>1606.614</v>
      </c>
      <c r="AV21" s="4">
        <v>1603.3910000000001</v>
      </c>
    </row>
    <row r="22" spans="1:48" ht="15" customHeight="1" x14ac:dyDescent="0.2">
      <c r="B22" s="22" t="s">
        <v>68</v>
      </c>
      <c r="C22" s="38">
        <f t="shared" ref="C22:AL22" si="2">+C21/C18</f>
        <v>0.1482543742533905</v>
      </c>
      <c r="D22" s="38">
        <f t="shared" si="2"/>
        <v>6.752754587073069E-2</v>
      </c>
      <c r="E22" s="38">
        <f t="shared" si="2"/>
        <v>0.11983664215781424</v>
      </c>
      <c r="F22" s="38">
        <f t="shared" si="2"/>
        <v>4.6133707883845014E-2</v>
      </c>
      <c r="G22" s="38">
        <f t="shared" si="2"/>
        <v>5.3316507173316111E-2</v>
      </c>
      <c r="H22" s="38">
        <f t="shared" si="2"/>
        <v>5.3384090218576305E-2</v>
      </c>
      <c r="I22" s="38">
        <f t="shared" si="2"/>
        <v>0.14478923212621655</v>
      </c>
      <c r="J22" s="38">
        <f t="shared" si="2"/>
        <v>0.12833984686552879</v>
      </c>
      <c r="K22" s="38">
        <f t="shared" si="2"/>
        <v>0.10582850447184612</v>
      </c>
      <c r="L22" s="38">
        <f t="shared" si="2"/>
        <v>9.9892824171509617E-2</v>
      </c>
      <c r="M22" s="38">
        <f t="shared" si="2"/>
        <v>0.11472688871590368</v>
      </c>
      <c r="N22" s="38">
        <f t="shared" si="2"/>
        <v>0.11508009706821547</v>
      </c>
      <c r="O22" s="38">
        <f t="shared" si="2"/>
        <v>0.1082441154589275</v>
      </c>
      <c r="P22" s="38">
        <f t="shared" si="2"/>
        <v>9.4139929080377327E-2</v>
      </c>
      <c r="Q22" s="38">
        <f t="shared" si="2"/>
        <v>0.10276260549361665</v>
      </c>
      <c r="R22" s="38">
        <f t="shared" si="2"/>
        <v>8.7147839078266565E-2</v>
      </c>
      <c r="S22" s="38">
        <f t="shared" si="2"/>
        <v>7.352347675718271E-2</v>
      </c>
      <c r="T22" s="38">
        <f t="shared" si="2"/>
        <v>5.066075557830263E-2</v>
      </c>
      <c r="U22" s="38">
        <f t="shared" si="2"/>
        <v>0.10117238056550121</v>
      </c>
      <c r="V22" s="38">
        <f t="shared" si="2"/>
        <v>-2.2329123460749428E-2</v>
      </c>
      <c r="W22" s="38">
        <f t="shared" si="2"/>
        <v>-1.4160540001226263E-2</v>
      </c>
      <c r="X22" s="38">
        <f t="shared" si="2"/>
        <v>-3.2123204254978374E-2</v>
      </c>
      <c r="Y22" s="38">
        <f t="shared" si="2"/>
        <v>0.12181142549675505</v>
      </c>
      <c r="Z22" s="38">
        <f t="shared" si="2"/>
        <v>9.482846754003374E-2</v>
      </c>
      <c r="AA22" s="38">
        <f t="shared" si="2"/>
        <v>8.1105293961060032E-2</v>
      </c>
      <c r="AB22" s="38">
        <f t="shared" si="2"/>
        <v>5.478512231395909E-3</v>
      </c>
      <c r="AC22" s="38">
        <f t="shared" si="2"/>
        <v>2.4485150184385514E-2</v>
      </c>
      <c r="AD22" s="38">
        <f t="shared" si="2"/>
        <v>2.8178368400466232E-2</v>
      </c>
      <c r="AE22" s="38">
        <f t="shared" si="2"/>
        <v>2.4599922364475949E-2</v>
      </c>
      <c r="AF22" s="38">
        <f t="shared" si="2"/>
        <v>2.9968581636820594E-2</v>
      </c>
      <c r="AG22" s="38">
        <f t="shared" si="2"/>
        <v>0.12070149278725215</v>
      </c>
      <c r="AH22" s="38">
        <f t="shared" si="2"/>
        <v>0.10249605358511643</v>
      </c>
      <c r="AI22" s="38">
        <f t="shared" si="2"/>
        <v>7.3924988275848133E-2</v>
      </c>
      <c r="AJ22" s="38">
        <f t="shared" si="2"/>
        <v>6.6131886350246777E-2</v>
      </c>
      <c r="AK22" s="38">
        <f t="shared" si="2"/>
        <v>9.9983200720841797E-2</v>
      </c>
      <c r="AL22" s="38">
        <f t="shared" si="2"/>
        <v>0.12959494925241388</v>
      </c>
      <c r="AM22" s="38">
        <f t="shared" ref="AM22:AP22" si="3">+AM21/AM18</f>
        <v>0.11169280888102276</v>
      </c>
      <c r="AN22" s="38">
        <f t="shared" si="3"/>
        <v>0.10393791588849831</v>
      </c>
      <c r="AO22" s="38">
        <f t="shared" si="3"/>
        <v>9.3295067939021925E-2</v>
      </c>
      <c r="AP22" s="38">
        <f t="shared" si="3"/>
        <v>7.5257108857056179E-2</v>
      </c>
      <c r="AQ22" s="38">
        <v>5.9004930447207608E-2</v>
      </c>
      <c r="AR22" s="38">
        <v>9.1549052861773325E-2</v>
      </c>
      <c r="AS22" s="38">
        <v>0.18558868293210343</v>
      </c>
      <c r="AT22" s="38">
        <v>0.15452770042631231</v>
      </c>
      <c r="AU22" s="38">
        <v>0.14221831551636457</v>
      </c>
      <c r="AV22" s="38">
        <v>0.10979607835295919</v>
      </c>
    </row>
    <row r="23" spans="1:48" ht="15" customHeight="1" x14ac:dyDescent="0.2">
      <c r="B23" s="2" t="s">
        <v>70</v>
      </c>
      <c r="C23" s="4">
        <v>311</v>
      </c>
      <c r="D23" s="4">
        <v>247</v>
      </c>
      <c r="E23" s="4">
        <v>93</v>
      </c>
      <c r="F23" s="4">
        <v>90</v>
      </c>
      <c r="G23" s="4">
        <v>152</v>
      </c>
      <c r="H23" s="4">
        <v>202</v>
      </c>
      <c r="I23" s="4">
        <v>108</v>
      </c>
      <c r="J23" s="4">
        <v>176</v>
      </c>
      <c r="K23" s="4">
        <v>223</v>
      </c>
      <c r="L23" s="4">
        <v>299</v>
      </c>
      <c r="M23" s="4">
        <v>94</v>
      </c>
      <c r="N23" s="4">
        <v>189</v>
      </c>
      <c r="O23" s="4">
        <v>282</v>
      </c>
      <c r="P23" s="4">
        <v>362</v>
      </c>
      <c r="Q23" s="4">
        <v>97</v>
      </c>
      <c r="R23" s="4">
        <v>194</v>
      </c>
      <c r="S23" s="4">
        <v>262</v>
      </c>
      <c r="T23" s="4">
        <v>281</v>
      </c>
      <c r="U23" s="4">
        <v>121</v>
      </c>
      <c r="V23" s="4">
        <v>20</v>
      </c>
      <c r="W23" s="4">
        <v>59</v>
      </c>
      <c r="X23" s="4">
        <v>10</v>
      </c>
      <c r="Y23" s="4">
        <v>169</v>
      </c>
      <c r="Z23" s="4">
        <v>251</v>
      </c>
      <c r="AA23" s="4">
        <v>335</v>
      </c>
      <c r="AB23" s="4">
        <v>188</v>
      </c>
      <c r="AC23" s="4">
        <v>74</v>
      </c>
      <c r="AD23" s="4">
        <v>157</v>
      </c>
      <c r="AE23" s="4">
        <v>247</v>
      </c>
      <c r="AF23" s="4">
        <v>294</v>
      </c>
      <c r="AG23" s="4">
        <v>187</v>
      </c>
      <c r="AH23" s="4">
        <v>299</v>
      </c>
      <c r="AI23" s="4">
        <v>349</v>
      </c>
      <c r="AJ23" s="4">
        <v>529</v>
      </c>
      <c r="AK23" s="4">
        <v>223</v>
      </c>
      <c r="AL23" s="4">
        <v>485</v>
      </c>
      <c r="AM23" s="4">
        <v>683</v>
      </c>
      <c r="AN23" s="4">
        <v>1005</v>
      </c>
      <c r="AO23" s="4">
        <v>295.5</v>
      </c>
      <c r="AP23" s="4">
        <v>593</v>
      </c>
      <c r="AQ23" s="4">
        <v>981.93399999999997</v>
      </c>
      <c r="AR23" s="4">
        <v>1501.1880000000001</v>
      </c>
      <c r="AS23" s="4">
        <v>942.63599999999997</v>
      </c>
      <c r="AT23" s="4">
        <v>1397.3579999999999</v>
      </c>
      <c r="AU23" s="4">
        <v>1799.191</v>
      </c>
      <c r="AV23" s="4">
        <v>1921.048</v>
      </c>
    </row>
    <row r="24" spans="1:48" ht="15" customHeight="1" x14ac:dyDescent="0.2">
      <c r="B24" s="22" t="s">
        <v>68</v>
      </c>
      <c r="C24" s="38">
        <f t="shared" ref="C24:AL24" si="4">+C23/C18</f>
        <v>0.17482959735788067</v>
      </c>
      <c r="D24" s="38">
        <f t="shared" si="4"/>
        <v>9.8097971675501439E-2</v>
      </c>
      <c r="E24" s="38">
        <f t="shared" si="4"/>
        <v>0.14441330155205478</v>
      </c>
      <c r="F24" s="38">
        <f t="shared" si="4"/>
        <v>7.4799288575655321E-2</v>
      </c>
      <c r="G24" s="38">
        <f t="shared" si="4"/>
        <v>8.4352781088994411E-2</v>
      </c>
      <c r="H24" s="38">
        <f t="shared" si="4"/>
        <v>8.5956495800472002E-2</v>
      </c>
      <c r="I24" s="38">
        <f t="shared" si="4"/>
        <v>0.17939811930971589</v>
      </c>
      <c r="J24" s="38">
        <f t="shared" si="4"/>
        <v>0.1595150741745095</v>
      </c>
      <c r="K24" s="38">
        <f t="shared" si="4"/>
        <v>0.13609303148753346</v>
      </c>
      <c r="L24" s="38">
        <f t="shared" si="4"/>
        <v>0.13220120758507745</v>
      </c>
      <c r="M24" s="38">
        <f t="shared" si="4"/>
        <v>0.13626209869724737</v>
      </c>
      <c r="N24" s="38">
        <f t="shared" si="4"/>
        <v>0.13565433839082372</v>
      </c>
      <c r="O24" s="38">
        <f t="shared" si="4"/>
        <v>0.1288685705093873</v>
      </c>
      <c r="P24" s="38">
        <f t="shared" si="4"/>
        <v>0.11272900414512645</v>
      </c>
      <c r="Q24" s="38">
        <f t="shared" si="4"/>
        <v>9.6982640107420776E-2</v>
      </c>
      <c r="R24" s="38">
        <f t="shared" si="4"/>
        <v>9.8449771332644528E-2</v>
      </c>
      <c r="S24" s="38">
        <f t="shared" si="4"/>
        <v>8.9608554265161969E-2</v>
      </c>
      <c r="T24" s="38">
        <f t="shared" si="4"/>
        <v>7.1161994328819561E-2</v>
      </c>
      <c r="U24" s="38">
        <f t="shared" si="4"/>
        <v>0.11430946690221346</v>
      </c>
      <c r="V24" s="38">
        <f t="shared" si="4"/>
        <v>1.0181070335924415E-2</v>
      </c>
      <c r="W24" s="38">
        <f t="shared" si="4"/>
        <v>2.0553824544192811E-2</v>
      </c>
      <c r="X24" s="38">
        <f t="shared" si="4"/>
        <v>2.6000796664409796E-3</v>
      </c>
      <c r="Y24" s="38">
        <f t="shared" si="4"/>
        <v>0.14714153622729101</v>
      </c>
      <c r="Z24" s="38">
        <f t="shared" si="4"/>
        <v>0.11717303937060806</v>
      </c>
      <c r="AA24" s="38">
        <f t="shared" si="4"/>
        <v>0.1047900304954629</v>
      </c>
      <c r="AB24" s="38">
        <f t="shared" si="4"/>
        <v>4.2013473363346147E-2</v>
      </c>
      <c r="AC24" s="38">
        <f t="shared" si="4"/>
        <v>6.7815746449754036E-2</v>
      </c>
      <c r="AD24" s="38">
        <f t="shared" si="4"/>
        <v>7.6953918817046718E-2</v>
      </c>
      <c r="AE24" s="38">
        <f t="shared" si="4"/>
        <v>8.6769115113107226E-2</v>
      </c>
      <c r="AF24" s="38">
        <f t="shared" si="4"/>
        <v>7.5613938889534715E-2</v>
      </c>
      <c r="AG24" s="38">
        <f t="shared" si="4"/>
        <v>0.13615140035719719</v>
      </c>
      <c r="AH24" s="38">
        <f t="shared" si="4"/>
        <v>0.12262697325870722</v>
      </c>
      <c r="AI24" s="38">
        <f t="shared" si="4"/>
        <v>0.10222933173359564</v>
      </c>
      <c r="AJ24" s="38">
        <f t="shared" si="4"/>
        <v>0.11166469687889784</v>
      </c>
      <c r="AK24" s="38">
        <f t="shared" si="4"/>
        <v>0.13622688190106752</v>
      </c>
      <c r="AL24" s="38">
        <f t="shared" si="4"/>
        <v>0.14502300483479785</v>
      </c>
      <c r="AM24" s="38">
        <f t="shared" ref="AM24:AP24" si="5">+AM23/AM18</f>
        <v>0.13470319049338642</v>
      </c>
      <c r="AN24" s="38">
        <f t="shared" si="5"/>
        <v>0.13423028547776567</v>
      </c>
      <c r="AO24" s="38">
        <f t="shared" si="5"/>
        <v>0.13041008787124397</v>
      </c>
      <c r="AP24" s="38">
        <f t="shared" si="5"/>
        <v>0.11621735820894352</v>
      </c>
      <c r="AQ24" s="38">
        <v>0.11747770614984487</v>
      </c>
      <c r="AR24" s="38">
        <v>0.12358334298578658</v>
      </c>
      <c r="AS24" s="38">
        <v>0.20548022246646194</v>
      </c>
      <c r="AT24" s="38">
        <v>0.16823713986821148</v>
      </c>
      <c r="AU24" s="38">
        <v>0.15926533275086827</v>
      </c>
      <c r="AV24" s="38">
        <v>0.13154841004333662</v>
      </c>
    </row>
    <row r="25" spans="1:48" ht="15" customHeight="1" x14ac:dyDescent="0.2">
      <c r="B25" s="1" t="s">
        <v>71</v>
      </c>
      <c r="C25" s="40">
        <v>23.878</v>
      </c>
      <c r="D25" s="40">
        <v>-36.799999999999997</v>
      </c>
      <c r="E25" s="40">
        <v>-53.152000000000001</v>
      </c>
      <c r="F25" s="40">
        <v>-35.963999999999999</v>
      </c>
      <c r="G25" s="40">
        <v>-28.603000000000002</v>
      </c>
      <c r="H25" s="40">
        <v>-27.042000000000002</v>
      </c>
      <c r="I25" s="40">
        <v>-2.8839999999999999</v>
      </c>
      <c r="J25" s="40">
        <v>-3.7709999999999999</v>
      </c>
      <c r="K25" s="40">
        <v>14.499000000000001</v>
      </c>
      <c r="L25" s="40">
        <v>14.336</v>
      </c>
      <c r="M25" s="40">
        <v>17.649999999999999</v>
      </c>
      <c r="N25" s="40">
        <v>23.193000000000001</v>
      </c>
      <c r="O25" s="40">
        <v>6.3239999999999998</v>
      </c>
      <c r="P25" s="40">
        <v>9.19</v>
      </c>
      <c r="Q25" s="40">
        <v>5.8170000000000002</v>
      </c>
      <c r="R25" s="40">
        <v>14.823</v>
      </c>
      <c r="S25" s="40">
        <v>19.064</v>
      </c>
      <c r="T25" s="40">
        <v>20.86</v>
      </c>
      <c r="U25" s="40">
        <v>10.382999999999999</v>
      </c>
      <c r="V25" s="40">
        <v>28.477</v>
      </c>
      <c r="W25" s="40">
        <v>42.317999999999998</v>
      </c>
      <c r="X25" s="40">
        <v>72.587000000000003</v>
      </c>
      <c r="Y25" s="40">
        <v>24.376000000000001</v>
      </c>
      <c r="Z25" s="40">
        <v>22.745999999999999</v>
      </c>
      <c r="AA25" s="40">
        <v>45.131</v>
      </c>
      <c r="AB25" s="40">
        <v>59.290999999999997</v>
      </c>
      <c r="AC25" s="40">
        <v>48.314</v>
      </c>
      <c r="AD25" s="40">
        <v>75.043000000000006</v>
      </c>
      <c r="AE25" s="40">
        <v>131.79</v>
      </c>
      <c r="AF25" s="40">
        <v>126.444</v>
      </c>
      <c r="AG25" s="40">
        <v>-7.085</v>
      </c>
      <c r="AH25" s="40">
        <v>11.250999999999999</v>
      </c>
      <c r="AI25" s="40">
        <v>27.291</v>
      </c>
      <c r="AJ25" s="40">
        <v>112.41</v>
      </c>
      <c r="AK25" s="40">
        <v>35.155999999999999</v>
      </c>
      <c r="AL25" s="40">
        <v>20.984000000000002</v>
      </c>
      <c r="AM25" s="40">
        <v>43.353999999999999</v>
      </c>
      <c r="AN25" s="40">
        <v>106.68199999999996</v>
      </c>
      <c r="AO25" s="40">
        <v>69.599999999999994</v>
      </c>
      <c r="AP25" s="40">
        <v>239.80700000000002</v>
      </c>
      <c r="AQ25" s="40">
        <v>655.71400000000017</v>
      </c>
      <c r="AR25" s="40">
        <v>508.024</v>
      </c>
      <c r="AS25" s="40">
        <v>109.654</v>
      </c>
      <c r="AT25" s="40">
        <v>168.08100000000002</v>
      </c>
      <c r="AU25" s="40">
        <v>167.66500000000002</v>
      </c>
      <c r="AV25" s="40">
        <v>230.91400000000004</v>
      </c>
    </row>
    <row r="26" spans="1:48" ht="15" customHeight="1" x14ac:dyDescent="0.2">
      <c r="B26" s="66" t="s">
        <v>185</v>
      </c>
      <c r="C26" s="67">
        <v>288</v>
      </c>
      <c r="D26" s="67">
        <v>133</v>
      </c>
      <c r="E26" s="67">
        <v>24</v>
      </c>
      <c r="F26" s="67">
        <v>20</v>
      </c>
      <c r="G26" s="67">
        <v>67</v>
      </c>
      <c r="H26" s="67">
        <v>98</v>
      </c>
      <c r="I26" s="67">
        <v>84</v>
      </c>
      <c r="J26" s="67">
        <v>138</v>
      </c>
      <c r="K26" s="67">
        <v>188</v>
      </c>
      <c r="L26" s="67">
        <v>240</v>
      </c>
      <c r="M26" s="67">
        <v>97</v>
      </c>
      <c r="N26" s="67">
        <v>184</v>
      </c>
      <c r="O26" s="67">
        <v>243</v>
      </c>
      <c r="P26" s="67">
        <v>311</v>
      </c>
      <c r="Q26" s="67">
        <v>112</v>
      </c>
      <c r="R26" s="67">
        <v>190</v>
      </c>
      <c r="S26" s="67">
        <v>240</v>
      </c>
      <c r="T26" s="67">
        <v>363</v>
      </c>
      <c r="U26" s="67">
        <v>172</v>
      </c>
      <c r="V26" s="67">
        <v>39</v>
      </c>
      <c r="W26" s="67">
        <v>52</v>
      </c>
      <c r="X26" s="67">
        <v>-5</v>
      </c>
      <c r="Y26" s="67">
        <v>172</v>
      </c>
      <c r="Z26" s="67">
        <v>236</v>
      </c>
      <c r="AA26" s="67">
        <v>315</v>
      </c>
      <c r="AB26" s="67">
        <v>96</v>
      </c>
      <c r="AC26" s="67">
        <v>88</v>
      </c>
      <c r="AD26" s="67">
        <v>145</v>
      </c>
      <c r="AE26" s="67">
        <v>215</v>
      </c>
      <c r="AF26" s="67">
        <v>260</v>
      </c>
      <c r="AG26" s="67">
        <v>168</v>
      </c>
      <c r="AH26" s="67">
        <v>273</v>
      </c>
      <c r="AI26" s="67">
        <v>291</v>
      </c>
      <c r="AJ26" s="67">
        <v>439</v>
      </c>
      <c r="AK26" s="67">
        <v>207</v>
      </c>
      <c r="AL26" s="67">
        <v>471</v>
      </c>
      <c r="AM26" s="67">
        <v>627</v>
      </c>
      <c r="AN26" s="67">
        <v>902</v>
      </c>
      <c r="AO26" s="67">
        <v>289.13299999999998</v>
      </c>
      <c r="AP26" s="67">
        <v>630</v>
      </c>
      <c r="AQ26" s="67">
        <v>1155.6020000000017</v>
      </c>
      <c r="AR26" s="67">
        <v>1641</v>
      </c>
      <c r="AS26" s="67">
        <v>971.05499999999995</v>
      </c>
      <c r="AT26" s="67">
        <v>1460.625</v>
      </c>
      <c r="AU26" s="67">
        <v>1793.89</v>
      </c>
      <c r="AV26" s="67">
        <v>1777.0070000000001</v>
      </c>
    </row>
    <row r="27" spans="1:48" ht="15" customHeight="1" x14ac:dyDescent="0.2">
      <c r="B27" s="1" t="s">
        <v>72</v>
      </c>
      <c r="C27" s="40">
        <v>-69.605000000000004</v>
      </c>
      <c r="D27" s="40">
        <v>-42.372</v>
      </c>
      <c r="E27" s="40">
        <v>-18.285</v>
      </c>
      <c r="F27" s="40">
        <v>-7.0759999999999996</v>
      </c>
      <c r="G27" s="40">
        <v>-10.944000000000001</v>
      </c>
      <c r="H27" s="40">
        <v>-29.257000000000001</v>
      </c>
      <c r="I27" s="40">
        <v>-17.510999999999999</v>
      </c>
      <c r="J27" s="40">
        <v>-31.356000000000002</v>
      </c>
      <c r="K27" s="40">
        <v>-40.767000000000003</v>
      </c>
      <c r="L27" s="40">
        <v>-62.033999999999999</v>
      </c>
      <c r="M27" s="40">
        <v>-20.541</v>
      </c>
      <c r="N27" s="40">
        <v>-40.340000000000003</v>
      </c>
      <c r="O27" s="40">
        <v>-46.209000000000003</v>
      </c>
      <c r="P27" s="40">
        <v>-68.840999999999994</v>
      </c>
      <c r="Q27" s="40">
        <v>-19.131</v>
      </c>
      <c r="R27" s="40">
        <v>-39.491</v>
      </c>
      <c r="S27" s="40">
        <v>-42.308999999999997</v>
      </c>
      <c r="T27" s="40">
        <v>-62.337000000000003</v>
      </c>
      <c r="U27" s="40">
        <v>-25.141999999999999</v>
      </c>
      <c r="V27" s="40">
        <v>-33.277000000000001</v>
      </c>
      <c r="W27" s="40">
        <v>-45.966999999999999</v>
      </c>
      <c r="X27" s="40">
        <v>-58.533000000000001</v>
      </c>
      <c r="Y27" s="40">
        <v>-29.1</v>
      </c>
      <c r="Z27" s="40">
        <v>-52.238999999999997</v>
      </c>
      <c r="AA27" s="40">
        <v>-61.448</v>
      </c>
      <c r="AB27" s="40">
        <v>-37.838000000000001</v>
      </c>
      <c r="AC27" s="40">
        <v>-2.9940000000000002</v>
      </c>
      <c r="AD27" s="40">
        <v>-29.867999999999999</v>
      </c>
      <c r="AE27" s="40">
        <v>-56.746000000000002</v>
      </c>
      <c r="AF27" s="40">
        <v>-66.524000000000001</v>
      </c>
      <c r="AG27" s="40">
        <v>-18.321000000000002</v>
      </c>
      <c r="AH27" s="40">
        <v>-48.84</v>
      </c>
      <c r="AI27" s="40">
        <v>-76.942999999999998</v>
      </c>
      <c r="AJ27" s="40">
        <v>-108.61499999999999</v>
      </c>
      <c r="AK27" s="40">
        <v>-46.134</v>
      </c>
      <c r="AL27" s="40">
        <v>-85.724000000000004</v>
      </c>
      <c r="AM27" s="40">
        <v>-110.688</v>
      </c>
      <c r="AN27" s="40">
        <v>-131.52600000000001</v>
      </c>
      <c r="AO27" s="40">
        <f>-26.1-22</f>
        <v>-48.1</v>
      </c>
      <c r="AP27" s="40">
        <v>-109.75</v>
      </c>
      <c r="AQ27" s="40">
        <v>-187.18600000000001</v>
      </c>
      <c r="AR27" s="40">
        <v>-239.85</v>
      </c>
      <c r="AS27" s="40">
        <v>-190.15</v>
      </c>
      <c r="AT27" s="40">
        <v>-281.26400000000001</v>
      </c>
      <c r="AU27" s="40">
        <v>-357.541</v>
      </c>
      <c r="AV27" s="40">
        <v>-362.14800000000002</v>
      </c>
    </row>
    <row r="28" spans="1:48" ht="15" customHeight="1" x14ac:dyDescent="0.2">
      <c r="B28" s="46" t="s">
        <v>73</v>
      </c>
      <c r="C28" s="47">
        <v>218.32499999999999</v>
      </c>
      <c r="D28" s="47">
        <v>91.031999999999996</v>
      </c>
      <c r="E28" s="47">
        <v>5.7949999999999999</v>
      </c>
      <c r="F28" s="47">
        <v>12.593999999999999</v>
      </c>
      <c r="G28" s="47">
        <v>56.710999999999999</v>
      </c>
      <c r="H28" s="47">
        <v>69.343999999999994</v>
      </c>
      <c r="I28" s="47">
        <v>66.81</v>
      </c>
      <c r="J28" s="47">
        <v>106.58799999999999</v>
      </c>
      <c r="K28" s="47">
        <v>147.23599999999999</v>
      </c>
      <c r="L28" s="47">
        <v>178.58</v>
      </c>
      <c r="M28" s="47">
        <v>76.341999999999999</v>
      </c>
      <c r="N28" s="47">
        <v>143.34</v>
      </c>
      <c r="O28" s="47">
        <v>197.20699999999999</v>
      </c>
      <c r="P28" s="47">
        <v>242.44</v>
      </c>
      <c r="Q28" s="47">
        <v>92.372</v>
      </c>
      <c r="R28" s="47">
        <v>149.21700000000001</v>
      </c>
      <c r="S28" s="47">
        <v>197.84100000000001</v>
      </c>
      <c r="T28" s="47">
        <v>299.30500000000001</v>
      </c>
      <c r="U28" s="47">
        <v>147.15</v>
      </c>
      <c r="V28" s="47">
        <v>5.8929999999999998</v>
      </c>
      <c r="W28" s="47">
        <v>5.8579999999999997</v>
      </c>
      <c r="X28" s="47">
        <v>-64.260999999999996</v>
      </c>
      <c r="Y28" s="47">
        <v>142.38200000000001</v>
      </c>
      <c r="Z28" s="47">
        <v>183.95</v>
      </c>
      <c r="AA28" s="47">
        <v>253.39400000000001</v>
      </c>
      <c r="AB28" s="47">
        <v>55.908999999999999</v>
      </c>
      <c r="AC28" s="47">
        <v>84.007000000000005</v>
      </c>
      <c r="AD28" s="47">
        <v>113.10299999999999</v>
      </c>
      <c r="AE28" s="47">
        <v>153.803</v>
      </c>
      <c r="AF28" s="47">
        <v>185.46600000000001</v>
      </c>
      <c r="AG28" s="47">
        <v>148.87799999999999</v>
      </c>
      <c r="AH28" s="47">
        <v>221.48400000000001</v>
      </c>
      <c r="AI28" s="47">
        <v>209.97200000000001</v>
      </c>
      <c r="AJ28" s="47">
        <v>324.411</v>
      </c>
      <c r="AK28" s="47">
        <v>161.71799999999999</v>
      </c>
      <c r="AL28" s="47">
        <v>385.58199999999999</v>
      </c>
      <c r="AM28" s="47">
        <v>516.39599999999996</v>
      </c>
      <c r="AN28" s="47">
        <v>770.72799999999995</v>
      </c>
      <c r="AO28" s="47">
        <v>241.1</v>
      </c>
      <c r="AP28" s="47">
        <v>520.39200000000005</v>
      </c>
      <c r="AQ28" s="47">
        <v>967.94400000000167</v>
      </c>
      <c r="AR28" s="47">
        <v>1401.527</v>
      </c>
      <c r="AS28" s="47">
        <v>780.90499999999997</v>
      </c>
      <c r="AT28" s="47">
        <v>1179.3610000000001</v>
      </c>
      <c r="AU28" s="47">
        <v>1436.3489999999999</v>
      </c>
      <c r="AV28" s="47">
        <v>1414.8589999999999</v>
      </c>
    </row>
    <row r="29" spans="1:48" ht="15" customHeight="1" x14ac:dyDescent="0.2">
      <c r="A29" s="55" t="s">
        <v>164</v>
      </c>
      <c r="B29" s="48" t="s">
        <v>68</v>
      </c>
      <c r="C29" s="49">
        <f t="shared" ref="C29:AP29" si="6">+C28/C18</f>
        <v>0.12273206380437074</v>
      </c>
      <c r="D29" s="49">
        <f t="shared" si="6"/>
        <v>3.6154067034673061E-2</v>
      </c>
      <c r="E29" s="49">
        <f t="shared" si="6"/>
        <v>8.9986568010124463E-3</v>
      </c>
      <c r="F29" s="49">
        <f t="shared" si="6"/>
        <v>1.0466913781353367E-2</v>
      </c>
      <c r="G29" s="49">
        <f t="shared" si="6"/>
        <v>3.1471911633802377E-2</v>
      </c>
      <c r="H29" s="49">
        <f t="shared" si="6"/>
        <v>2.9507758637564011E-2</v>
      </c>
      <c r="I29" s="49">
        <f t="shared" si="6"/>
        <v>0.11097766991742702</v>
      </c>
      <c r="J29" s="49">
        <f t="shared" si="6"/>
        <v>9.6604504125639867E-2</v>
      </c>
      <c r="K29" s="49">
        <f t="shared" si="6"/>
        <v>8.9855576610307061E-2</v>
      </c>
      <c r="L29" s="49">
        <f t="shared" si="6"/>
        <v>7.8958166055328197E-2</v>
      </c>
      <c r="M29" s="49">
        <f t="shared" si="6"/>
        <v>0.11066511849728998</v>
      </c>
      <c r="N29" s="49">
        <f t="shared" si="6"/>
        <v>0.10288197283037394</v>
      </c>
      <c r="O29" s="49">
        <f t="shared" si="6"/>
        <v>9.0119802072499089E-2</v>
      </c>
      <c r="P29" s="49">
        <f t="shared" si="6"/>
        <v>7.5497292168354851E-2</v>
      </c>
      <c r="Q29" s="49">
        <f t="shared" si="6"/>
        <v>9.235546837116157E-2</v>
      </c>
      <c r="R29" s="49">
        <f t="shared" si="6"/>
        <v>7.5723605819294937E-2</v>
      </c>
      <c r="S29" s="49">
        <f t="shared" si="6"/>
        <v>6.7665061009060723E-2</v>
      </c>
      <c r="T29" s="49">
        <f t="shared" si="6"/>
        <v>7.579765378144962E-2</v>
      </c>
      <c r="U29" s="49">
        <f t="shared" si="6"/>
        <v>0.13901353764182406</v>
      </c>
      <c r="V29" s="49">
        <f t="shared" si="6"/>
        <v>2.9998523744801291E-3</v>
      </c>
      <c r="W29" s="49">
        <f t="shared" si="6"/>
        <v>2.040750918303076E-3</v>
      </c>
      <c r="X29" s="49">
        <f t="shared" si="6"/>
        <v>-1.6708371944516378E-2</v>
      </c>
      <c r="Y29" s="49">
        <f t="shared" si="6"/>
        <v>0.12396630894150383</v>
      </c>
      <c r="Z29" s="49">
        <f t="shared" si="6"/>
        <v>8.5872432638340046E-2</v>
      </c>
      <c r="AA29" s="49">
        <f t="shared" si="6"/>
        <v>7.9263179066768136E-2</v>
      </c>
      <c r="AB29" s="49">
        <f t="shared" si="6"/>
        <v>1.2494315331230424E-2</v>
      </c>
      <c r="AC29" s="49">
        <f t="shared" si="6"/>
        <v>7.6986451513574153E-2</v>
      </c>
      <c r="AD29" s="49">
        <f t="shared" si="6"/>
        <v>5.543770114627028E-2</v>
      </c>
      <c r="AE29" s="49">
        <f t="shared" si="6"/>
        <v>5.4029757942272189E-2</v>
      </c>
      <c r="AF29" s="49">
        <f t="shared" si="6"/>
        <v>4.770005030641649E-2</v>
      </c>
      <c r="AG29" s="49">
        <f t="shared" si="6"/>
        <v>0.1083954448255551</v>
      </c>
      <c r="AH29" s="49">
        <f t="shared" si="6"/>
        <v>9.0835827910473288E-2</v>
      </c>
      <c r="AI29" s="49">
        <f t="shared" si="6"/>
        <v>6.1505149692740811E-2</v>
      </c>
      <c r="AJ29" s="49">
        <f t="shared" si="6"/>
        <v>6.847874476215525E-2</v>
      </c>
      <c r="AK29" s="49">
        <f t="shared" si="6"/>
        <v>9.8790757342048591E-2</v>
      </c>
      <c r="AL29" s="49">
        <f t="shared" si="6"/>
        <v>0.115295381959198</v>
      </c>
      <c r="AM29" s="49">
        <f t="shared" si="6"/>
        <v>0.1018450787086717</v>
      </c>
      <c r="AN29" s="49">
        <f t="shared" si="6"/>
        <v>0.10294033777682325</v>
      </c>
      <c r="AO29" s="49">
        <f t="shared" si="6"/>
        <v>0.10640227474029415</v>
      </c>
      <c r="AP29" s="49">
        <f t="shared" si="6"/>
        <v>0.10198749320922183</v>
      </c>
      <c r="AQ29" s="49">
        <v>0.11580395505350222</v>
      </c>
      <c r="AR29" s="49">
        <v>0.115378881222632</v>
      </c>
      <c r="AS29" s="49">
        <v>0.17022533950026572</v>
      </c>
      <c r="AT29" s="49">
        <v>0.14199104417916797</v>
      </c>
      <c r="AU29" s="49">
        <v>0.12714636824627118</v>
      </c>
      <c r="AV29" s="49">
        <v>9.6885893473513007E-2</v>
      </c>
    </row>
    <row r="32" spans="1:48" ht="20.100000000000001" customHeight="1" x14ac:dyDescent="0.2">
      <c r="B32" s="32" t="s">
        <v>150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</row>
    <row r="33" spans="1:48" x14ac:dyDescent="0.2">
      <c r="B33" s="31" t="s">
        <v>65</v>
      </c>
      <c r="C33" s="35" t="s">
        <v>1</v>
      </c>
      <c r="D33" s="35" t="s">
        <v>2</v>
      </c>
      <c r="E33" s="35" t="s">
        <v>7</v>
      </c>
      <c r="F33" s="35" t="s">
        <v>8</v>
      </c>
      <c r="G33" s="35" t="s">
        <v>9</v>
      </c>
      <c r="H33" s="35" t="s">
        <v>10</v>
      </c>
      <c r="I33" s="35" t="s">
        <v>11</v>
      </c>
      <c r="J33" s="35" t="s">
        <v>12</v>
      </c>
      <c r="K33" s="35" t="s">
        <v>13</v>
      </c>
      <c r="L33" s="35" t="s">
        <v>14</v>
      </c>
      <c r="M33" s="35" t="s">
        <v>15</v>
      </c>
      <c r="N33" s="35" t="s">
        <v>16</v>
      </c>
      <c r="O33" s="35" t="s">
        <v>17</v>
      </c>
      <c r="P33" s="35" t="s">
        <v>18</v>
      </c>
      <c r="Q33" s="35" t="s">
        <v>19</v>
      </c>
      <c r="R33" s="35" t="s">
        <v>20</v>
      </c>
      <c r="S33" s="35" t="s">
        <v>21</v>
      </c>
      <c r="T33" s="35" t="s">
        <v>22</v>
      </c>
      <c r="U33" s="35" t="s">
        <v>23</v>
      </c>
      <c r="V33" s="35" t="s">
        <v>24</v>
      </c>
      <c r="W33" s="35" t="s">
        <v>25</v>
      </c>
      <c r="X33" s="35" t="s">
        <v>26</v>
      </c>
      <c r="Y33" s="35" t="s">
        <v>27</v>
      </c>
      <c r="Z33" s="35" t="s">
        <v>28</v>
      </c>
      <c r="AA33" s="35" t="s">
        <v>29</v>
      </c>
      <c r="AB33" s="35" t="s">
        <v>30</v>
      </c>
      <c r="AC33" s="35" t="s">
        <v>31</v>
      </c>
      <c r="AD33" s="35" t="s">
        <v>32</v>
      </c>
      <c r="AE33" s="35" t="s">
        <v>33</v>
      </c>
      <c r="AF33" s="35" t="s">
        <v>34</v>
      </c>
      <c r="AG33" s="35" t="s">
        <v>35</v>
      </c>
      <c r="AH33" s="35" t="s">
        <v>36</v>
      </c>
      <c r="AI33" s="35" t="s">
        <v>37</v>
      </c>
      <c r="AJ33" s="35" t="s">
        <v>38</v>
      </c>
      <c r="AK33" s="35" t="s">
        <v>39</v>
      </c>
      <c r="AL33" s="35" t="s">
        <v>40</v>
      </c>
      <c r="AM33" s="35" t="s">
        <v>41</v>
      </c>
      <c r="AN33" s="35" t="s">
        <v>170</v>
      </c>
      <c r="AO33" s="35" t="s">
        <v>172</v>
      </c>
      <c r="AP33" s="35" t="s">
        <v>173</v>
      </c>
      <c r="AQ33" s="35" t="s">
        <v>175</v>
      </c>
      <c r="AR33" s="35" t="s">
        <v>182</v>
      </c>
      <c r="AS33" s="35" t="s">
        <v>186</v>
      </c>
      <c r="AT33" s="35" t="s">
        <v>188</v>
      </c>
      <c r="AU33" s="35" t="s">
        <v>191</v>
      </c>
      <c r="AV33" s="35" t="s">
        <v>193</v>
      </c>
    </row>
    <row r="34" spans="1:48" ht="15" customHeight="1" x14ac:dyDescent="0.2">
      <c r="B34" s="9" t="s">
        <v>66</v>
      </c>
      <c r="C34" s="10">
        <v>549.65800000000002</v>
      </c>
      <c r="D34" s="37">
        <f>+D18-C18</f>
        <v>739.01600000000008</v>
      </c>
      <c r="E34" s="132">
        <f>+E18</f>
        <v>643.98500000000001</v>
      </c>
      <c r="F34" s="37">
        <f t="shared" ref="F34:H35" si="7">+F18-E18</f>
        <v>559.23500000000001</v>
      </c>
      <c r="G34" s="37">
        <f t="shared" si="7"/>
        <v>598.73599999999988</v>
      </c>
      <c r="H34" s="37">
        <f t="shared" si="7"/>
        <v>548.06999999999994</v>
      </c>
      <c r="I34" s="132">
        <f>+I18</f>
        <v>602.01300000000003</v>
      </c>
      <c r="J34" s="37">
        <f t="shared" ref="J34:L35" si="8">+J18-I18</f>
        <v>501.33100000000002</v>
      </c>
      <c r="K34" s="37">
        <f t="shared" si="8"/>
        <v>535.24099999999999</v>
      </c>
      <c r="L34" s="37">
        <f t="shared" si="8"/>
        <v>623.11900000000014</v>
      </c>
      <c r="M34" s="132">
        <f>+M18</f>
        <v>689.84699999999998</v>
      </c>
      <c r="N34" s="37">
        <f t="shared" ref="N34:P35" si="9">+N18-M18</f>
        <v>703.40000000000009</v>
      </c>
      <c r="O34" s="37">
        <f t="shared" si="9"/>
        <v>795.02899999999977</v>
      </c>
      <c r="P34" s="37">
        <f t="shared" si="9"/>
        <v>1022.9650000000001</v>
      </c>
      <c r="Q34" s="132">
        <f>+Q18</f>
        <v>1000.179</v>
      </c>
      <c r="R34" s="37">
        <f t="shared" ref="R34:T35" si="10">+R18-Q18</f>
        <v>970.36900000000003</v>
      </c>
      <c r="S34" s="37">
        <f t="shared" si="10"/>
        <v>953.28</v>
      </c>
      <c r="T34" s="37">
        <f t="shared" si="10"/>
        <v>1024.9090000000001</v>
      </c>
      <c r="U34" s="132">
        <f>+U18</f>
        <v>1058.53</v>
      </c>
      <c r="V34" s="37">
        <f t="shared" ref="V34:X35" si="11">+V18-U18</f>
        <v>905.90000000000009</v>
      </c>
      <c r="W34" s="37">
        <f t="shared" si="11"/>
        <v>906.08200000000011</v>
      </c>
      <c r="X34" s="37">
        <f t="shared" si="11"/>
        <v>975.52399999999989</v>
      </c>
      <c r="Y34" s="132">
        <f>+Y18</f>
        <v>1148.5540000000001</v>
      </c>
      <c r="Z34" s="37">
        <f t="shared" ref="Z34:AB35" si="12">+Z18-Y18</f>
        <v>993.57699999999977</v>
      </c>
      <c r="AA34" s="37">
        <f t="shared" si="12"/>
        <v>1054.7380000000003</v>
      </c>
      <c r="AB34" s="37">
        <f t="shared" si="12"/>
        <v>1277.886</v>
      </c>
      <c r="AC34" s="132">
        <f>+AC18</f>
        <v>1091.192</v>
      </c>
      <c r="AD34" s="37">
        <f t="shared" ref="AD34:AF35" si="13">+AD18-AC18</f>
        <v>948.99</v>
      </c>
      <c r="AE34" s="37">
        <f t="shared" si="13"/>
        <v>806.4530000000002</v>
      </c>
      <c r="AF34" s="37">
        <f t="shared" si="13"/>
        <v>1041.5369999999998</v>
      </c>
      <c r="AG34" s="132">
        <f>+AG18</f>
        <v>1373.471</v>
      </c>
      <c r="AH34" s="37">
        <f t="shared" ref="AH34:AJ35" si="14">+AH18-AG18</f>
        <v>1064.8180000000002</v>
      </c>
      <c r="AI34" s="37">
        <f t="shared" si="14"/>
        <v>975.60399999999981</v>
      </c>
      <c r="AJ34" s="37">
        <f t="shared" si="14"/>
        <v>1323.5039999999999</v>
      </c>
      <c r="AK34" s="132">
        <f>+AK18</f>
        <v>1636.9749999999999</v>
      </c>
      <c r="AL34" s="37">
        <f t="shared" ref="AL34:AN35" si="15">+AL18-AK18</f>
        <v>1707.3220000000001</v>
      </c>
      <c r="AM34" s="37">
        <f t="shared" si="15"/>
        <v>1726.1100000000001</v>
      </c>
      <c r="AN34" s="37">
        <f t="shared" si="15"/>
        <v>2416.7259999999997</v>
      </c>
      <c r="AO34" s="132">
        <f>+AO18</f>
        <v>2265.9290000000001</v>
      </c>
      <c r="AP34" s="37">
        <f t="shared" ref="AP34:AV35" si="16">+AP18-AO18</f>
        <v>2836.5789999999997</v>
      </c>
      <c r="AQ34" s="37">
        <f t="shared" si="16"/>
        <v>3255.9629999999997</v>
      </c>
      <c r="AR34" s="37">
        <f t="shared" si="16"/>
        <v>3788.7000000000007</v>
      </c>
      <c r="AS34" s="132">
        <f>+AS18</f>
        <v>4587.4780000000001</v>
      </c>
      <c r="AT34" s="37">
        <f t="shared" si="16"/>
        <v>3718.4049999999997</v>
      </c>
      <c r="AU34" s="37">
        <f t="shared" si="16"/>
        <v>2990.9320000000007</v>
      </c>
      <c r="AV34" s="37">
        <f t="shared" si="16"/>
        <v>3306.5389999999989</v>
      </c>
    </row>
    <row r="35" spans="1:48" ht="15" customHeight="1" x14ac:dyDescent="0.2">
      <c r="B35" s="2" t="s">
        <v>67</v>
      </c>
      <c r="C35" s="4">
        <v>89.870999999999995</v>
      </c>
      <c r="D35" s="4">
        <f>+D19-C19</f>
        <v>-50.305999999999983</v>
      </c>
      <c r="E35" s="133">
        <f>+E19</f>
        <v>114.462</v>
      </c>
      <c r="F35" s="4">
        <f t="shared" si="7"/>
        <v>11.332999999999998</v>
      </c>
      <c r="G35" s="4">
        <f t="shared" si="7"/>
        <v>78.171000000000006</v>
      </c>
      <c r="H35" s="4">
        <f t="shared" si="7"/>
        <v>76.430999999999983</v>
      </c>
      <c r="I35" s="133">
        <f>+I19</f>
        <v>136.45699999999999</v>
      </c>
      <c r="J35" s="4">
        <f t="shared" si="8"/>
        <v>90.099000000000018</v>
      </c>
      <c r="K35" s="4">
        <f t="shared" si="8"/>
        <v>72.359999999999985</v>
      </c>
      <c r="L35" s="4">
        <f t="shared" si="8"/>
        <v>103.46199999999999</v>
      </c>
      <c r="M35" s="133">
        <f>+M19</f>
        <v>130.01900000000001</v>
      </c>
      <c r="N35" s="4">
        <f t="shared" si="9"/>
        <v>127.904</v>
      </c>
      <c r="O35" s="4">
        <f t="shared" si="9"/>
        <v>115.58499999999998</v>
      </c>
      <c r="P35" s="4">
        <f t="shared" si="9"/>
        <v>127.95100000000002</v>
      </c>
      <c r="Q35" s="133">
        <f>+Q19</f>
        <v>130.18799999999999</v>
      </c>
      <c r="R35" s="4">
        <f t="shared" si="10"/>
        <v>120.01600000000002</v>
      </c>
      <c r="S35" s="4">
        <f t="shared" si="10"/>
        <v>85.569000000000017</v>
      </c>
      <c r="T35" s="4">
        <f t="shared" si="10"/>
        <v>49.488999999999976</v>
      </c>
      <c r="U35" s="133">
        <f>+U19</f>
        <v>159.095</v>
      </c>
      <c r="V35" s="4">
        <f t="shared" si="11"/>
        <v>-70.218000000000004</v>
      </c>
      <c r="W35" s="4">
        <f t="shared" si="11"/>
        <v>55.33</v>
      </c>
      <c r="X35" s="4">
        <f t="shared" si="11"/>
        <v>-16.974999999999994</v>
      </c>
      <c r="Y35" s="133">
        <f>+Y19</f>
        <v>215.55099999999999</v>
      </c>
      <c r="Z35" s="4">
        <f t="shared" si="12"/>
        <v>104.74700000000001</v>
      </c>
      <c r="AA35" s="4">
        <f t="shared" si="12"/>
        <v>106.363</v>
      </c>
      <c r="AB35" s="4">
        <f t="shared" si="12"/>
        <v>25.762999999999977</v>
      </c>
      <c r="AC35" s="133">
        <f>+AC19</f>
        <v>115.236</v>
      </c>
      <c r="AD35" s="4">
        <f t="shared" si="13"/>
        <v>97.219999999999985</v>
      </c>
      <c r="AE35" s="4">
        <f t="shared" si="13"/>
        <v>109.66999999999999</v>
      </c>
      <c r="AF35" s="4">
        <f t="shared" si="13"/>
        <v>86.748000000000047</v>
      </c>
      <c r="AG35" s="133">
        <f>+AG19</f>
        <v>223.19300000000001</v>
      </c>
      <c r="AH35" s="4">
        <f t="shared" si="14"/>
        <v>149.80199999999999</v>
      </c>
      <c r="AI35" s="4">
        <f t="shared" si="14"/>
        <v>72.365000000000009</v>
      </c>
      <c r="AJ35" s="4">
        <f t="shared" si="14"/>
        <v>208.18499999999995</v>
      </c>
      <c r="AK35" s="133">
        <f>+AK19</f>
        <v>265.68299999999999</v>
      </c>
      <c r="AL35" s="4">
        <f t="shared" si="15"/>
        <v>233.15300000000002</v>
      </c>
      <c r="AM35" s="4">
        <f t="shared" si="15"/>
        <v>233.66700000000003</v>
      </c>
      <c r="AN35" s="4">
        <f t="shared" si="15"/>
        <v>295.9319999999999</v>
      </c>
      <c r="AO35" s="133">
        <f>+AO19</f>
        <v>340.9</v>
      </c>
      <c r="AP35" s="4">
        <f t="shared" si="16"/>
        <v>392.84699999999998</v>
      </c>
      <c r="AQ35" s="4">
        <f t="shared" si="16"/>
        <v>483.6500000000018</v>
      </c>
      <c r="AR35" s="4">
        <f t="shared" si="16"/>
        <v>585.94499999999834</v>
      </c>
      <c r="AS35" s="133">
        <f>+AS19</f>
        <v>1063.692</v>
      </c>
      <c r="AT35" s="4">
        <f t="shared" si="16"/>
        <v>569.30500000000006</v>
      </c>
      <c r="AU35" s="4">
        <f t="shared" si="16"/>
        <v>514.56400000000008</v>
      </c>
      <c r="AV35" s="4">
        <f t="shared" si="16"/>
        <v>254.00099999999975</v>
      </c>
    </row>
    <row r="36" spans="1:48" ht="15" customHeight="1" x14ac:dyDescent="0.2">
      <c r="B36" s="22" t="s">
        <v>68</v>
      </c>
      <c r="C36" s="38">
        <f t="shared" ref="C36:AL36" si="17">+C35/C34</f>
        <v>0.16350348762321296</v>
      </c>
      <c r="D36" s="38">
        <f t="shared" si="17"/>
        <v>-6.8071597908570286E-2</v>
      </c>
      <c r="E36" s="126">
        <f t="shared" si="17"/>
        <v>0.17774016475539026</v>
      </c>
      <c r="F36" s="38">
        <f t="shared" si="17"/>
        <v>2.0265183688431516E-2</v>
      </c>
      <c r="G36" s="38">
        <f t="shared" si="17"/>
        <v>0.13056004649795572</v>
      </c>
      <c r="H36" s="38">
        <f t="shared" si="17"/>
        <v>0.13945481416607367</v>
      </c>
      <c r="I36" s="126">
        <f t="shared" si="17"/>
        <v>0.22666786265412872</v>
      </c>
      <c r="J36" s="38">
        <f t="shared" si="17"/>
        <v>0.17971958646084127</v>
      </c>
      <c r="K36" s="38">
        <f t="shared" si="17"/>
        <v>0.1351914371283216</v>
      </c>
      <c r="L36" s="38">
        <f t="shared" si="17"/>
        <v>0.16603891070565971</v>
      </c>
      <c r="M36" s="126">
        <f t="shared" si="17"/>
        <v>0.1884751256438022</v>
      </c>
      <c r="N36" s="38">
        <f t="shared" si="17"/>
        <v>0.18183679272106906</v>
      </c>
      <c r="O36" s="38">
        <f t="shared" si="17"/>
        <v>0.14538463376807639</v>
      </c>
      <c r="P36" s="38">
        <f t="shared" si="17"/>
        <v>0.12507857062558347</v>
      </c>
      <c r="Q36" s="126">
        <f t="shared" si="17"/>
        <v>0.13016470051860715</v>
      </c>
      <c r="R36" s="38">
        <f t="shared" si="17"/>
        <v>0.12368078535072742</v>
      </c>
      <c r="S36" s="38">
        <f t="shared" si="17"/>
        <v>8.9762713997985924E-2</v>
      </c>
      <c r="T36" s="38">
        <f t="shared" si="17"/>
        <v>4.8286238095284525E-2</v>
      </c>
      <c r="U36" s="126">
        <f t="shared" si="17"/>
        <v>0.15029805484964998</v>
      </c>
      <c r="V36" s="38">
        <f t="shared" si="17"/>
        <v>-7.7511866651948341E-2</v>
      </c>
      <c r="W36" s="38">
        <f t="shared" si="17"/>
        <v>6.1065113312040183E-2</v>
      </c>
      <c r="X36" s="38">
        <f t="shared" si="17"/>
        <v>-1.7400904539509019E-2</v>
      </c>
      <c r="Y36" s="126">
        <f t="shared" si="17"/>
        <v>0.1876716288480994</v>
      </c>
      <c r="Z36" s="38">
        <f t="shared" si="17"/>
        <v>0.10542413924637953</v>
      </c>
      <c r="AA36" s="38">
        <f t="shared" si="17"/>
        <v>0.1008430529667083</v>
      </c>
      <c r="AB36" s="38">
        <f t="shared" si="17"/>
        <v>2.016064030750785E-2</v>
      </c>
      <c r="AC36" s="126">
        <f t="shared" si="17"/>
        <v>0.10560561294437643</v>
      </c>
      <c r="AD36" s="38">
        <f t="shared" si="17"/>
        <v>0.10244575812179263</v>
      </c>
      <c r="AE36" s="38">
        <f t="shared" si="17"/>
        <v>0.13599056609622626</v>
      </c>
      <c r="AF36" s="38">
        <f t="shared" si="17"/>
        <v>8.3288447745975477E-2</v>
      </c>
      <c r="AG36" s="126">
        <f t="shared" si="17"/>
        <v>0.16250288502633112</v>
      </c>
      <c r="AH36" s="38">
        <f t="shared" si="17"/>
        <v>0.14068319656504677</v>
      </c>
      <c r="AI36" s="38">
        <f t="shared" si="17"/>
        <v>7.4174562629919547E-2</v>
      </c>
      <c r="AJ36" s="38">
        <f t="shared" si="17"/>
        <v>0.15729835346171978</v>
      </c>
      <c r="AK36" s="126">
        <f t="shared" si="17"/>
        <v>0.16230119580323463</v>
      </c>
      <c r="AL36" s="38">
        <f t="shared" si="17"/>
        <v>0.13656064878212781</v>
      </c>
      <c r="AM36" s="38">
        <f>+AM35/AM34</f>
        <v>0.13537202148182909</v>
      </c>
      <c r="AN36" s="38">
        <f>+AN35/AN34</f>
        <v>0.12245161429140082</v>
      </c>
      <c r="AO36" s="126">
        <f t="shared" ref="AO36:AR36" si="18">+AO35/AO34</f>
        <v>0.15044602015332342</v>
      </c>
      <c r="AP36" s="38">
        <f t="shared" si="18"/>
        <v>0.1384932342797433</v>
      </c>
      <c r="AQ36" s="38">
        <f t="shared" si="18"/>
        <v>0.14854284277800511</v>
      </c>
      <c r="AR36" s="38">
        <f t="shared" si="18"/>
        <v>0.15465595058991163</v>
      </c>
      <c r="AS36" s="126">
        <f t="shared" ref="AS36:AV36" si="19">+AS35/AS34</f>
        <v>0.23186857789835721</v>
      </c>
      <c r="AT36" s="38">
        <f t="shared" si="19"/>
        <v>0.15310462416009019</v>
      </c>
      <c r="AU36" s="38">
        <f t="shared" si="19"/>
        <v>0.17204135700845086</v>
      </c>
      <c r="AV36" s="38">
        <f t="shared" si="19"/>
        <v>7.681778439631283E-2</v>
      </c>
    </row>
    <row r="37" spans="1:48" ht="15" customHeight="1" x14ac:dyDescent="0.2">
      <c r="B37" s="2" t="s">
        <v>69</v>
      </c>
      <c r="C37" s="39">
        <v>54.908000000000001</v>
      </c>
      <c r="D37" s="39">
        <f>+D21-C21</f>
        <v>-93.699000000000012</v>
      </c>
      <c r="E37" s="138">
        <f>+E21</f>
        <v>77.173000000000002</v>
      </c>
      <c r="F37" s="39">
        <f>+F21-E21</f>
        <v>-21.664000000000001</v>
      </c>
      <c r="G37" s="39">
        <f>+G21-F21</f>
        <v>40.564999999999998</v>
      </c>
      <c r="H37" s="39">
        <f>+H21-G21</f>
        <v>29.379999999999995</v>
      </c>
      <c r="I37" s="138">
        <f>+I21</f>
        <v>87.165000000000006</v>
      </c>
      <c r="J37" s="39">
        <f>+J21-I21</f>
        <v>54.438000000000002</v>
      </c>
      <c r="K37" s="39">
        <f>+K21-J21</f>
        <v>31.805999999999983</v>
      </c>
      <c r="L37" s="39">
        <f>+L21-K21</f>
        <v>52.519000000000005</v>
      </c>
      <c r="M37" s="138">
        <f>+M21</f>
        <v>79.144000000000005</v>
      </c>
      <c r="N37" s="39">
        <f>+N21-M21</f>
        <v>81.191000000000003</v>
      </c>
      <c r="O37" s="39">
        <f>+O21-N21</f>
        <v>76.532999999999987</v>
      </c>
      <c r="P37" s="39">
        <f>+P21-O21</f>
        <v>65.437999999999988</v>
      </c>
      <c r="Q37" s="138">
        <f>+Q21</f>
        <v>102.78100000000001</v>
      </c>
      <c r="R37" s="39">
        <f>+R21-Q21</f>
        <v>68.948000000000008</v>
      </c>
      <c r="S37" s="39">
        <f>+S21-R21</f>
        <v>43.240999999999985</v>
      </c>
      <c r="T37" s="39">
        <f>+T21-S21</f>
        <v>-14.924000000000007</v>
      </c>
      <c r="U37" s="138">
        <f>+U21</f>
        <v>107.09399999999999</v>
      </c>
      <c r="V37" s="39">
        <f>+V21-U21</f>
        <v>-150.958</v>
      </c>
      <c r="W37" s="39">
        <f>+W21-V21</f>
        <v>3.215999999999994</v>
      </c>
      <c r="X37" s="39">
        <f>+X21-W21</f>
        <v>-82.899000000000001</v>
      </c>
      <c r="Y37" s="138">
        <f>+Y21</f>
        <v>139.90700000000001</v>
      </c>
      <c r="Z37" s="39">
        <f>+Z21-Y21</f>
        <v>63.22799999999998</v>
      </c>
      <c r="AA37" s="39">
        <f>+AA21-Z21</f>
        <v>56.148000000000025</v>
      </c>
      <c r="AB37" s="39">
        <f>+AB21-AA21</f>
        <v>-234.76800000000003</v>
      </c>
      <c r="AC37" s="138">
        <f>+AC21</f>
        <v>26.718</v>
      </c>
      <c r="AD37" s="39">
        <f>+AD21-AC21</f>
        <v>30.770999999999997</v>
      </c>
      <c r="AE37" s="39">
        <f>+AE21-AD21</f>
        <v>12.538000000000004</v>
      </c>
      <c r="AF37" s="39">
        <f>+AF21-AE21</f>
        <v>46.495999999999995</v>
      </c>
      <c r="AG37" s="138">
        <f>+AG21</f>
        <v>165.78</v>
      </c>
      <c r="AH37" s="39">
        <f>+AH21-AG21</f>
        <v>84.134999999999991</v>
      </c>
      <c r="AI37" s="39">
        <f>+AI21-AH21</f>
        <v>2.4570000000000221</v>
      </c>
      <c r="AJ37" s="39">
        <f>+AJ21-AI21</f>
        <v>60.920999999999992</v>
      </c>
      <c r="AK37" s="138">
        <f>+AK21</f>
        <v>163.66999999999999</v>
      </c>
      <c r="AL37" s="39">
        <f>+AL21-AK21</f>
        <v>269.73400000000004</v>
      </c>
      <c r="AM37" s="39">
        <f>+AM21-AL21</f>
        <v>132.92399999999998</v>
      </c>
      <c r="AN37" s="39">
        <f>+AN21-AM21</f>
        <v>211.86900000000003</v>
      </c>
      <c r="AO37" s="138">
        <f>+AO21</f>
        <v>211.4</v>
      </c>
      <c r="AP37" s="39">
        <f>+AP21-AO21</f>
        <v>172.6</v>
      </c>
      <c r="AQ37" s="39">
        <f>+AQ21-AP21</f>
        <v>109.19100000000179</v>
      </c>
      <c r="AR37" s="39">
        <f>+AR21-AQ21</f>
        <v>618.87099999999805</v>
      </c>
      <c r="AS37" s="138">
        <f>+AS21</f>
        <v>851.38400000000001</v>
      </c>
      <c r="AT37" s="39">
        <f>+AT21-AS21</f>
        <v>432.10500000000002</v>
      </c>
      <c r="AU37" s="39">
        <f>+AU21-AT21</f>
        <v>323.125</v>
      </c>
      <c r="AV37" s="39">
        <f>+AV21-AU21</f>
        <v>-3.2229999999999563</v>
      </c>
    </row>
    <row r="38" spans="1:48" ht="15" customHeight="1" x14ac:dyDescent="0.2">
      <c r="B38" s="22" t="s">
        <v>68</v>
      </c>
      <c r="C38" s="38">
        <f t="shared" ref="C38:D38" si="20">+C37/C34</f>
        <v>9.989484370281157E-2</v>
      </c>
      <c r="D38" s="38">
        <f t="shared" si="20"/>
        <v>-0.12678886519371704</v>
      </c>
      <c r="E38" s="126">
        <f t="shared" ref="E38" si="21">+E37/E34</f>
        <v>0.11983664215781424</v>
      </c>
      <c r="F38" s="38">
        <f t="shared" ref="F38" si="22">+F37/F34</f>
        <v>-3.8738634026840239E-2</v>
      </c>
      <c r="G38" s="38">
        <f t="shared" ref="G38" si="23">+G37/G34</f>
        <v>6.7751062237780935E-2</v>
      </c>
      <c r="H38" s="38">
        <f t="shared" ref="H38" si="24">+H37/H34</f>
        <v>5.3606291167186675E-2</v>
      </c>
      <c r="I38" s="126">
        <f t="shared" ref="I38" si="25">+I37/I34</f>
        <v>0.14478923212621655</v>
      </c>
      <c r="J38" s="38">
        <f t="shared" ref="J38" si="26">+J37/J34</f>
        <v>0.10858694156156312</v>
      </c>
      <c r="K38" s="38">
        <f t="shared" ref="K38" si="27">+K37/K34</f>
        <v>5.9423698857150299E-2</v>
      </c>
      <c r="L38" s="38">
        <f t="shared" ref="L38" si="28">+L37/L34</f>
        <v>8.4284061310921338E-2</v>
      </c>
      <c r="M38" s="126">
        <f t="shared" ref="M38" si="29">+M37/M34</f>
        <v>0.11472688871590368</v>
      </c>
      <c r="N38" s="38">
        <f t="shared" ref="N38" si="30">+N37/N34</f>
        <v>0.11542649985783338</v>
      </c>
      <c r="O38" s="38">
        <f t="shared" ref="O38" si="31">+O37/O34</f>
        <v>9.6264412996255488E-2</v>
      </c>
      <c r="P38" s="38">
        <f t="shared" ref="P38" si="32">+P37/P34</f>
        <v>6.3968952994481701E-2</v>
      </c>
      <c r="Q38" s="126">
        <f t="shared" ref="Q38" si="33">+Q37/Q34</f>
        <v>0.10276260549361665</v>
      </c>
      <c r="R38" s="38">
        <f t="shared" ref="R38" si="34">+R37/R34</f>
        <v>7.1053382785311578E-2</v>
      </c>
      <c r="S38" s="38">
        <f t="shared" ref="S38" si="35">+S37/S34</f>
        <v>4.5360229942933858E-2</v>
      </c>
      <c r="T38" s="38">
        <f t="shared" ref="T38" si="36">+T37/T34</f>
        <v>-1.4561292758674189E-2</v>
      </c>
      <c r="U38" s="126">
        <f t="shared" ref="U38" si="37">+U37/U34</f>
        <v>0.10117238056550121</v>
      </c>
      <c r="V38" s="38">
        <f t="shared" ref="V38" si="38">+V37/V34</f>
        <v>-0.16663870184347057</v>
      </c>
      <c r="W38" s="38">
        <f t="shared" ref="W38" si="39">+W37/W34</f>
        <v>3.5493476307883764E-3</v>
      </c>
      <c r="X38" s="38">
        <f t="shared" ref="X38" si="40">+X37/X34</f>
        <v>-8.4978944649234681E-2</v>
      </c>
      <c r="Y38" s="126">
        <f t="shared" ref="Y38" si="41">+Y37/Y34</f>
        <v>0.12181142549675505</v>
      </c>
      <c r="Z38" s="38">
        <f t="shared" ref="Z38" si="42">+Z37/Z34</f>
        <v>6.363673877313987E-2</v>
      </c>
      <c r="AA38" s="38">
        <f t="shared" ref="AA38" si="43">+AA37/AA34</f>
        <v>5.3234073295927525E-2</v>
      </c>
      <c r="AB38" s="38">
        <f t="shared" ref="AB38" si="44">+AB37/AB34</f>
        <v>-0.18371591832135264</v>
      </c>
      <c r="AC38" s="126">
        <f t="shared" ref="AC38" si="45">+AC37/AC34</f>
        <v>2.4485150184385514E-2</v>
      </c>
      <c r="AD38" s="38">
        <f t="shared" ref="AD38" si="46">+AD37/AD34</f>
        <v>3.2424999209686084E-2</v>
      </c>
      <c r="AE38" s="38">
        <f t="shared" ref="AE38" si="47">+AE37/AE34</f>
        <v>1.5547093258999596E-2</v>
      </c>
      <c r="AF38" s="38">
        <f t="shared" ref="AF38" si="48">+AF37/AF34</f>
        <v>4.4641717000932279E-2</v>
      </c>
      <c r="AG38" s="126">
        <f t="shared" ref="AG38" si="49">+AG37/AG34</f>
        <v>0.12070149278725215</v>
      </c>
      <c r="AH38" s="38">
        <f t="shared" ref="AH38" si="50">+AH37/AH34</f>
        <v>7.9013502777000366E-2</v>
      </c>
      <c r="AI38" s="38">
        <f t="shared" ref="AI38" si="51">+AI37/AI34</f>
        <v>2.5184398587951898E-3</v>
      </c>
      <c r="AJ38" s="38">
        <f t="shared" ref="AJ38" si="52">+AJ37/AJ34</f>
        <v>4.6030083777608526E-2</v>
      </c>
      <c r="AK38" s="126">
        <f t="shared" ref="AK38" si="53">+AK37/AK34</f>
        <v>9.9983200720841797E-2</v>
      </c>
      <c r="AL38" s="38">
        <f t="shared" ref="AL38" si="54">+AL37/AL34</f>
        <v>0.15798660123866501</v>
      </c>
      <c r="AM38" s="38">
        <f>+AM37/AM34</f>
        <v>7.700783843439872E-2</v>
      </c>
      <c r="AN38" s="38">
        <f>+AN37/AN34</f>
        <v>8.766777863936584E-2</v>
      </c>
      <c r="AO38" s="126">
        <f t="shared" ref="AO38:AR38" si="55">+AO37/AO34</f>
        <v>9.3295067939021925E-2</v>
      </c>
      <c r="AP38" s="38">
        <f t="shared" si="55"/>
        <v>6.0847943949384101E-2</v>
      </c>
      <c r="AQ38" s="38">
        <f t="shared" si="55"/>
        <v>3.3535700497825623E-2</v>
      </c>
      <c r="AR38" s="38">
        <f t="shared" si="55"/>
        <v>0.16334653047219308</v>
      </c>
      <c r="AS38" s="126">
        <f t="shared" ref="AS38:AV38" si="56">+AS37/AS34</f>
        <v>0.18558868293210343</v>
      </c>
      <c r="AT38" s="38">
        <f t="shared" si="56"/>
        <v>0.11620708341345283</v>
      </c>
      <c r="AU38" s="38">
        <f t="shared" si="56"/>
        <v>0.10803488678445379</v>
      </c>
      <c r="AV38" s="38">
        <f t="shared" si="56"/>
        <v>-9.7473521407125618E-4</v>
      </c>
    </row>
    <row r="39" spans="1:48" ht="15" customHeight="1" x14ac:dyDescent="0.2">
      <c r="B39" s="2" t="s">
        <v>70</v>
      </c>
      <c r="C39" s="4">
        <f>+C23-236</f>
        <v>75</v>
      </c>
      <c r="D39" s="4">
        <f>+D23-C23</f>
        <v>-64</v>
      </c>
      <c r="E39" s="133">
        <f>+E23</f>
        <v>93</v>
      </c>
      <c r="F39" s="4">
        <f>+F23-E23</f>
        <v>-3</v>
      </c>
      <c r="G39" s="4">
        <f>+G23-F23</f>
        <v>62</v>
      </c>
      <c r="H39" s="4">
        <f>+H23-G23</f>
        <v>50</v>
      </c>
      <c r="I39" s="133">
        <f>+I23</f>
        <v>108</v>
      </c>
      <c r="J39" s="4">
        <f>+J23-I23</f>
        <v>68</v>
      </c>
      <c r="K39" s="4">
        <f>+K23-J23</f>
        <v>47</v>
      </c>
      <c r="L39" s="4">
        <f>+L23-K23</f>
        <v>76</v>
      </c>
      <c r="M39" s="133">
        <f>+M23</f>
        <v>94</v>
      </c>
      <c r="N39" s="4">
        <f>+N23-M23</f>
        <v>95</v>
      </c>
      <c r="O39" s="4">
        <f>+O23-N23</f>
        <v>93</v>
      </c>
      <c r="P39" s="4">
        <f>+P23-O23</f>
        <v>80</v>
      </c>
      <c r="Q39" s="133">
        <f>+Q23</f>
        <v>97</v>
      </c>
      <c r="R39" s="4">
        <f>+R23-Q23</f>
        <v>97</v>
      </c>
      <c r="S39" s="4">
        <f>+S23-R23</f>
        <v>68</v>
      </c>
      <c r="T39" s="4">
        <f>+T23-S23</f>
        <v>19</v>
      </c>
      <c r="U39" s="133">
        <f>+U23</f>
        <v>121</v>
      </c>
      <c r="V39" s="4">
        <f>+V23-U23</f>
        <v>-101</v>
      </c>
      <c r="W39" s="4">
        <f>+W23-V23</f>
        <v>39</v>
      </c>
      <c r="X39" s="4">
        <f>+X23-W23</f>
        <v>-49</v>
      </c>
      <c r="Y39" s="133">
        <f>+Y23</f>
        <v>169</v>
      </c>
      <c r="Z39" s="4">
        <f>+Z23-Y23</f>
        <v>82</v>
      </c>
      <c r="AA39" s="4">
        <f>+AA23-Z23</f>
        <v>84</v>
      </c>
      <c r="AB39" s="4">
        <f>+AB23-AA23</f>
        <v>-147</v>
      </c>
      <c r="AC39" s="133">
        <f>+AC23</f>
        <v>74</v>
      </c>
      <c r="AD39" s="4">
        <f>+AD23-AC23</f>
        <v>83</v>
      </c>
      <c r="AE39" s="4">
        <f>+AE23-AD23</f>
        <v>90</v>
      </c>
      <c r="AF39" s="4">
        <f>+AF23-AE23</f>
        <v>47</v>
      </c>
      <c r="AG39" s="133">
        <f>+AG23</f>
        <v>187</v>
      </c>
      <c r="AH39" s="4">
        <f>+AH23-AG23</f>
        <v>112</v>
      </c>
      <c r="AI39" s="4">
        <f>+AI23-AH23</f>
        <v>50</v>
      </c>
      <c r="AJ39" s="4">
        <f>+AJ23-AI23</f>
        <v>180</v>
      </c>
      <c r="AK39" s="133">
        <f>+AK23</f>
        <v>223</v>
      </c>
      <c r="AL39" s="4">
        <f>+AL23-AK23</f>
        <v>262</v>
      </c>
      <c r="AM39" s="4">
        <f>+AM23-AL23</f>
        <v>198</v>
      </c>
      <c r="AN39" s="4">
        <f>+AN23-AM23</f>
        <v>322</v>
      </c>
      <c r="AO39" s="133">
        <f>+AO23</f>
        <v>295.5</v>
      </c>
      <c r="AP39" s="4">
        <f>+AP23-AO23</f>
        <v>297.5</v>
      </c>
      <c r="AQ39" s="4">
        <f>+AQ23-AP23</f>
        <v>388.93399999999997</v>
      </c>
      <c r="AR39" s="4">
        <f>+AR23-AQ23</f>
        <v>519.25400000000013</v>
      </c>
      <c r="AS39" s="133">
        <f>+AS23</f>
        <v>942.63599999999997</v>
      </c>
      <c r="AT39" s="4">
        <f>+AT23-AS23</f>
        <v>454.72199999999998</v>
      </c>
      <c r="AU39" s="4">
        <f>+AU23-AT23</f>
        <v>401.83300000000008</v>
      </c>
      <c r="AV39" s="4">
        <f>+AV23-AU23</f>
        <v>121.85699999999997</v>
      </c>
    </row>
    <row r="40" spans="1:48" ht="15" customHeight="1" x14ac:dyDescent="0.2">
      <c r="B40" s="22" t="s">
        <v>68</v>
      </c>
      <c r="C40" s="38">
        <f t="shared" ref="C40" si="57">+C39/C34</f>
        <v>0.13644848251094316</v>
      </c>
      <c r="D40" s="38">
        <f t="shared" ref="D40" si="58">+D39/D34</f>
        <v>-8.6601643266180972E-2</v>
      </c>
      <c r="E40" s="126">
        <f t="shared" ref="E40" si="59">+E39/E34</f>
        <v>0.14441330155205478</v>
      </c>
      <c r="F40" s="38">
        <f t="shared" ref="F40" si="60">+F39/F34</f>
        <v>-5.3644711078526912E-3</v>
      </c>
      <c r="G40" s="38">
        <f t="shared" ref="G40" si="61">+G39/G34</f>
        <v>0.1035514817883007</v>
      </c>
      <c r="H40" s="38">
        <f t="shared" ref="H40" si="62">+H39/H34</f>
        <v>9.1229222544565489E-2</v>
      </c>
      <c r="I40" s="126">
        <f t="shared" ref="I40" si="63">+I39/I34</f>
        <v>0.17939811930971589</v>
      </c>
      <c r="J40" s="38">
        <f t="shared" ref="J40" si="64">+J39/J34</f>
        <v>0.13563892917054798</v>
      </c>
      <c r="K40" s="38">
        <f t="shared" ref="K40" si="65">+K39/K34</f>
        <v>8.7810911346477574E-2</v>
      </c>
      <c r="L40" s="38">
        <f t="shared" ref="L40" si="66">+L39/L34</f>
        <v>0.12196707210019271</v>
      </c>
      <c r="M40" s="126">
        <f t="shared" ref="M40" si="67">+M39/M34</f>
        <v>0.13626209869724737</v>
      </c>
      <c r="N40" s="38">
        <f t="shared" ref="N40" si="68">+N39/N34</f>
        <v>0.13505828831390387</v>
      </c>
      <c r="O40" s="38">
        <f t="shared" ref="O40" si="69">+O39/O34</f>
        <v>0.11697686499486186</v>
      </c>
      <c r="P40" s="38">
        <f t="shared" ref="P40" si="70">+P39/P34</f>
        <v>7.8204044126631886E-2</v>
      </c>
      <c r="Q40" s="126">
        <f t="shared" ref="Q40" si="71">+Q39/Q34</f>
        <v>9.6982640107420776E-2</v>
      </c>
      <c r="R40" s="38">
        <f t="shared" ref="R40" si="72">+R39/R34</f>
        <v>9.9961973228740814E-2</v>
      </c>
      <c r="S40" s="38">
        <f t="shared" ref="S40" si="73">+S39/S34</f>
        <v>7.1332661967103056E-2</v>
      </c>
      <c r="T40" s="38">
        <f t="shared" ref="T40" si="74">+T39/T34</f>
        <v>1.853823119906255E-2</v>
      </c>
      <c r="U40" s="126">
        <f t="shared" ref="U40" si="75">+U39/U34</f>
        <v>0.11430946690221346</v>
      </c>
      <c r="V40" s="38">
        <f t="shared" ref="V40" si="76">+V39/V34</f>
        <v>-0.1114913345843912</v>
      </c>
      <c r="W40" s="38">
        <f t="shared" ref="W40" si="77">+W39/W34</f>
        <v>4.3042461940530762E-2</v>
      </c>
      <c r="X40" s="38">
        <f t="shared" ref="X40" si="78">+X39/X34</f>
        <v>-5.022941516559306E-2</v>
      </c>
      <c r="Y40" s="126">
        <f t="shared" ref="Y40" si="79">+Y39/Y34</f>
        <v>0.14714153622729101</v>
      </c>
      <c r="Z40" s="38">
        <f t="shared" ref="Z40" si="80">+Z39/Z34</f>
        <v>8.253009077303522E-2</v>
      </c>
      <c r="AA40" s="38">
        <f t="shared" ref="AA40" si="81">+AA39/AA34</f>
        <v>7.9640631133039652E-2</v>
      </c>
      <c r="AB40" s="38">
        <f t="shared" ref="AB40" si="82">+AB39/AB34</f>
        <v>-0.11503373540362756</v>
      </c>
      <c r="AC40" s="126">
        <f t="shared" ref="AC40" si="83">+AC39/AC34</f>
        <v>6.7815746449754036E-2</v>
      </c>
      <c r="AD40" s="38">
        <f t="shared" ref="AD40" si="84">+AD39/AD34</f>
        <v>8.7461406337263833E-2</v>
      </c>
      <c r="AE40" s="38">
        <f t="shared" ref="AE40" si="85">+AE39/AE34</f>
        <v>0.11159980804833013</v>
      </c>
      <c r="AF40" s="38">
        <f t="shared" ref="AF40" si="86">+AF39/AF34</f>
        <v>4.512561723683365E-2</v>
      </c>
      <c r="AG40" s="126">
        <f t="shared" ref="AG40" si="87">+AG39/AG34</f>
        <v>0.13615140035719719</v>
      </c>
      <c r="AH40" s="38">
        <f t="shared" ref="AH40" si="88">+AH39/AH34</f>
        <v>0.1051822940633986</v>
      </c>
      <c r="AI40" s="38">
        <f t="shared" ref="AI40" si="89">+AI39/AI34</f>
        <v>5.1250302376784032E-2</v>
      </c>
      <c r="AJ40" s="38">
        <f t="shared" ref="AJ40" si="90">+AJ39/AJ34</f>
        <v>0.13600261125013602</v>
      </c>
      <c r="AK40" s="126">
        <f t="shared" ref="AK40" si="91">+AK39/AK34</f>
        <v>0.13622688190106752</v>
      </c>
      <c r="AL40" s="38">
        <f t="shared" ref="AL40" si="92">+AL39/AL34</f>
        <v>0.15345670002495135</v>
      </c>
      <c r="AM40" s="38">
        <f>+AM39/AM34</f>
        <v>0.11470879607904479</v>
      </c>
      <c r="AN40" s="38">
        <f>+AN39/AN34</f>
        <v>0.13323810808507047</v>
      </c>
      <c r="AO40" s="126">
        <f t="shared" ref="AO40:AR40" si="93">+AO39/AO34</f>
        <v>0.13041008787124397</v>
      </c>
      <c r="AP40" s="38">
        <f t="shared" si="93"/>
        <v>0.1048798570390601</v>
      </c>
      <c r="AQ40" s="38">
        <f t="shared" si="93"/>
        <v>0.11945283162001534</v>
      </c>
      <c r="AR40" s="38">
        <f t="shared" si="93"/>
        <v>0.13705334283527332</v>
      </c>
      <c r="AS40" s="126">
        <f t="shared" ref="AS40:AV40" si="94">+AS39/AS34</f>
        <v>0.20548022246646194</v>
      </c>
      <c r="AT40" s="38">
        <f t="shared" si="94"/>
        <v>0.12228953005388063</v>
      </c>
      <c r="AU40" s="38">
        <f t="shared" si="94"/>
        <v>0.13435042989944271</v>
      </c>
      <c r="AV40" s="38">
        <f t="shared" si="94"/>
        <v>3.6853338188359494E-2</v>
      </c>
    </row>
    <row r="41" spans="1:48" ht="15" customHeight="1" x14ac:dyDescent="0.2">
      <c r="B41" s="1" t="s">
        <v>71</v>
      </c>
      <c r="C41" s="40">
        <v>6.5000000000000002E-2</v>
      </c>
      <c r="D41" s="40">
        <f>+D25-C25</f>
        <v>-60.677999999999997</v>
      </c>
      <c r="E41" s="139">
        <f>+E25</f>
        <v>-53.152000000000001</v>
      </c>
      <c r="F41" s="40">
        <f t="shared" ref="D41:H42" si="95">+F25-E25</f>
        <v>17.188000000000002</v>
      </c>
      <c r="G41" s="40">
        <f t="shared" si="95"/>
        <v>7.3609999999999971</v>
      </c>
      <c r="H41" s="40">
        <f t="shared" si="95"/>
        <v>1.5609999999999999</v>
      </c>
      <c r="I41" s="139">
        <f>+I25</f>
        <v>-2.8839999999999999</v>
      </c>
      <c r="J41" s="40">
        <f t="shared" ref="J41:L42" si="96">+J25-I25</f>
        <v>-0.88700000000000001</v>
      </c>
      <c r="K41" s="40">
        <f t="shared" si="96"/>
        <v>18.27</v>
      </c>
      <c r="L41" s="40">
        <f t="shared" si="96"/>
        <v>-0.16300000000000026</v>
      </c>
      <c r="M41" s="139">
        <f>+M25</f>
        <v>17.649999999999999</v>
      </c>
      <c r="N41" s="40">
        <f t="shared" ref="N41:P42" si="97">+N25-M25</f>
        <v>5.5430000000000028</v>
      </c>
      <c r="O41" s="40">
        <f t="shared" si="97"/>
        <v>-16.869</v>
      </c>
      <c r="P41" s="40">
        <f t="shared" si="97"/>
        <v>2.8659999999999997</v>
      </c>
      <c r="Q41" s="139">
        <f>+Q25</f>
        <v>5.8170000000000002</v>
      </c>
      <c r="R41" s="40">
        <f t="shared" ref="R41:T42" si="98">+R25-Q25</f>
        <v>9.0060000000000002</v>
      </c>
      <c r="S41" s="40">
        <f t="shared" si="98"/>
        <v>4.2409999999999997</v>
      </c>
      <c r="T41" s="40">
        <f t="shared" si="98"/>
        <v>1.7959999999999994</v>
      </c>
      <c r="U41" s="139">
        <f>+U25</f>
        <v>10.382999999999999</v>
      </c>
      <c r="V41" s="40">
        <f t="shared" ref="V41:X42" si="99">+V25-U25</f>
        <v>18.094000000000001</v>
      </c>
      <c r="W41" s="40">
        <f t="shared" si="99"/>
        <v>13.840999999999998</v>
      </c>
      <c r="X41" s="40">
        <f t="shared" si="99"/>
        <v>30.269000000000005</v>
      </c>
      <c r="Y41" s="139">
        <f>+Y25</f>
        <v>24.376000000000001</v>
      </c>
      <c r="Z41" s="40">
        <f t="shared" ref="Z41:AB42" si="100">+Z25-Y25</f>
        <v>-1.6300000000000026</v>
      </c>
      <c r="AA41" s="40">
        <f t="shared" si="100"/>
        <v>22.385000000000002</v>
      </c>
      <c r="AB41" s="40">
        <f t="shared" si="100"/>
        <v>14.159999999999997</v>
      </c>
      <c r="AC41" s="139">
        <f>+AC25</f>
        <v>48.314</v>
      </c>
      <c r="AD41" s="40">
        <f t="shared" ref="AD41:AF42" si="101">+AD25-AC25</f>
        <v>26.729000000000006</v>
      </c>
      <c r="AE41" s="40">
        <f t="shared" si="101"/>
        <v>56.746999999999986</v>
      </c>
      <c r="AF41" s="40">
        <f t="shared" si="101"/>
        <v>-5.3459999999999894</v>
      </c>
      <c r="AG41" s="139">
        <f>+AG25</f>
        <v>-7.085</v>
      </c>
      <c r="AH41" s="40">
        <f t="shared" ref="AH41:AJ42" si="102">+AH25-AG25</f>
        <v>18.335999999999999</v>
      </c>
      <c r="AI41" s="40">
        <f t="shared" si="102"/>
        <v>16.04</v>
      </c>
      <c r="AJ41" s="40">
        <f t="shared" si="102"/>
        <v>85.119</v>
      </c>
      <c r="AK41" s="139">
        <f>+AK25</f>
        <v>35.155999999999999</v>
      </c>
      <c r="AL41" s="40">
        <f t="shared" ref="AL41:AV44" si="103">+AL25-AK25</f>
        <v>-14.171999999999997</v>
      </c>
      <c r="AM41" s="40">
        <f t="shared" si="103"/>
        <v>22.369999999999997</v>
      </c>
      <c r="AN41" s="40">
        <f t="shared" si="103"/>
        <v>63.32799999999996</v>
      </c>
      <c r="AO41" s="139">
        <f>+AO25</f>
        <v>69.599999999999994</v>
      </c>
      <c r="AP41" s="40">
        <f t="shared" si="103"/>
        <v>170.20700000000002</v>
      </c>
      <c r="AQ41" s="40">
        <f t="shared" si="103"/>
        <v>415.90700000000015</v>
      </c>
      <c r="AR41" s="40">
        <f t="shared" si="103"/>
        <v>-147.69000000000017</v>
      </c>
      <c r="AS41" s="139">
        <f>+AS25</f>
        <v>109.654</v>
      </c>
      <c r="AT41" s="40">
        <f t="shared" si="103"/>
        <v>58.427000000000021</v>
      </c>
      <c r="AU41" s="40">
        <f t="shared" si="103"/>
        <v>-0.41599999999999682</v>
      </c>
      <c r="AV41" s="40">
        <f t="shared" si="103"/>
        <v>63.249000000000024</v>
      </c>
    </row>
    <row r="42" spans="1:48" ht="15" customHeight="1" x14ac:dyDescent="0.2">
      <c r="B42" s="66" t="s">
        <v>185</v>
      </c>
      <c r="C42" s="68">
        <v>57.59</v>
      </c>
      <c r="D42" s="68">
        <f t="shared" si="95"/>
        <v>-155</v>
      </c>
      <c r="E42" s="140">
        <f>+E26</f>
        <v>24</v>
      </c>
      <c r="F42" s="68">
        <f t="shared" si="95"/>
        <v>-4</v>
      </c>
      <c r="G42" s="68">
        <f t="shared" si="95"/>
        <v>47</v>
      </c>
      <c r="H42" s="68">
        <f t="shared" si="95"/>
        <v>31</v>
      </c>
      <c r="I42" s="140">
        <f>+I26</f>
        <v>84</v>
      </c>
      <c r="J42" s="68">
        <f t="shared" si="96"/>
        <v>54</v>
      </c>
      <c r="K42" s="68">
        <f t="shared" si="96"/>
        <v>50</v>
      </c>
      <c r="L42" s="68">
        <f t="shared" si="96"/>
        <v>52</v>
      </c>
      <c r="M42" s="140">
        <f>+M26</f>
        <v>97</v>
      </c>
      <c r="N42" s="68">
        <f t="shared" si="97"/>
        <v>87</v>
      </c>
      <c r="O42" s="68">
        <f t="shared" si="97"/>
        <v>59</v>
      </c>
      <c r="P42" s="68">
        <f t="shared" si="97"/>
        <v>68</v>
      </c>
      <c r="Q42" s="140">
        <f>+Q26</f>
        <v>112</v>
      </c>
      <c r="R42" s="68">
        <f t="shared" si="98"/>
        <v>78</v>
      </c>
      <c r="S42" s="68">
        <f t="shared" si="98"/>
        <v>50</v>
      </c>
      <c r="T42" s="68">
        <f t="shared" si="98"/>
        <v>123</v>
      </c>
      <c r="U42" s="140">
        <f>+U26</f>
        <v>172</v>
      </c>
      <c r="V42" s="68">
        <f t="shared" si="99"/>
        <v>-133</v>
      </c>
      <c r="W42" s="68">
        <f t="shared" si="99"/>
        <v>13</v>
      </c>
      <c r="X42" s="68">
        <f t="shared" si="99"/>
        <v>-57</v>
      </c>
      <c r="Y42" s="140">
        <f>+Y26</f>
        <v>172</v>
      </c>
      <c r="Z42" s="68">
        <f t="shared" si="100"/>
        <v>64</v>
      </c>
      <c r="AA42" s="68">
        <f t="shared" si="100"/>
        <v>79</v>
      </c>
      <c r="AB42" s="68">
        <f t="shared" si="100"/>
        <v>-219</v>
      </c>
      <c r="AC42" s="140">
        <f>+AC26</f>
        <v>88</v>
      </c>
      <c r="AD42" s="68">
        <f t="shared" si="101"/>
        <v>57</v>
      </c>
      <c r="AE42" s="68">
        <f t="shared" si="101"/>
        <v>70</v>
      </c>
      <c r="AF42" s="68">
        <f t="shared" si="101"/>
        <v>45</v>
      </c>
      <c r="AG42" s="140">
        <f>+AG26</f>
        <v>168</v>
      </c>
      <c r="AH42" s="68">
        <f t="shared" si="102"/>
        <v>105</v>
      </c>
      <c r="AI42" s="68">
        <f t="shared" si="102"/>
        <v>18</v>
      </c>
      <c r="AJ42" s="68">
        <f t="shared" si="102"/>
        <v>148</v>
      </c>
      <c r="AK42" s="140">
        <f>+AK26</f>
        <v>207</v>
      </c>
      <c r="AL42" s="68">
        <f t="shared" si="103"/>
        <v>264</v>
      </c>
      <c r="AM42" s="68">
        <f t="shared" si="103"/>
        <v>156</v>
      </c>
      <c r="AN42" s="68">
        <f t="shared" si="103"/>
        <v>275</v>
      </c>
      <c r="AO42" s="140">
        <f>+AO26</f>
        <v>289.13299999999998</v>
      </c>
      <c r="AP42" s="68">
        <f t="shared" ref="AP42" si="104">+AP26-AO26</f>
        <v>340.86700000000002</v>
      </c>
      <c r="AQ42" s="68">
        <f t="shared" si="103"/>
        <v>525.60200000000168</v>
      </c>
      <c r="AR42" s="68">
        <f t="shared" ref="AR42" si="105">+AR26-AQ26</f>
        <v>485.39799999999832</v>
      </c>
      <c r="AS42" s="140">
        <f>+AS26</f>
        <v>971.05499999999995</v>
      </c>
      <c r="AT42" s="68">
        <f t="shared" si="103"/>
        <v>489.57000000000005</v>
      </c>
      <c r="AU42" s="68">
        <f t="shared" si="103"/>
        <v>333.2650000000001</v>
      </c>
      <c r="AV42" s="68">
        <f t="shared" si="103"/>
        <v>-16.883000000000038</v>
      </c>
    </row>
    <row r="43" spans="1:48" ht="15" customHeight="1" x14ac:dyDescent="0.2">
      <c r="B43" s="1" t="s">
        <v>72</v>
      </c>
      <c r="C43" s="40">
        <v>-12.629</v>
      </c>
      <c r="D43" s="40">
        <f>+D27-C27</f>
        <v>27.233000000000004</v>
      </c>
      <c r="E43" s="139">
        <f>+E27</f>
        <v>-18.285</v>
      </c>
      <c r="F43" s="40">
        <f t="shared" ref="F43:H43" si="106">+F27-E27</f>
        <v>11.209</v>
      </c>
      <c r="G43" s="40">
        <f t="shared" si="106"/>
        <v>-3.8680000000000012</v>
      </c>
      <c r="H43" s="40">
        <f t="shared" si="106"/>
        <v>-18.313000000000002</v>
      </c>
      <c r="I43" s="139">
        <f>+I27</f>
        <v>-17.510999999999999</v>
      </c>
      <c r="J43" s="40">
        <f t="shared" ref="J43:L43" si="107">+J27-I27</f>
        <v>-13.845000000000002</v>
      </c>
      <c r="K43" s="40">
        <f t="shared" si="107"/>
        <v>-9.4110000000000014</v>
      </c>
      <c r="L43" s="40">
        <f t="shared" si="107"/>
        <v>-21.266999999999996</v>
      </c>
      <c r="M43" s="139">
        <f>+M27</f>
        <v>-20.541</v>
      </c>
      <c r="N43" s="40">
        <f t="shared" ref="N43:P43" si="108">+N27-M27</f>
        <v>-19.799000000000003</v>
      </c>
      <c r="O43" s="40">
        <f t="shared" si="108"/>
        <v>-5.8689999999999998</v>
      </c>
      <c r="P43" s="40">
        <f t="shared" si="108"/>
        <v>-22.631999999999991</v>
      </c>
      <c r="Q43" s="139">
        <f>+Q27</f>
        <v>-19.131</v>
      </c>
      <c r="R43" s="40">
        <f t="shared" ref="R43:T43" si="109">+R27-Q27</f>
        <v>-20.36</v>
      </c>
      <c r="S43" s="40">
        <f t="shared" si="109"/>
        <v>-2.8179999999999978</v>
      </c>
      <c r="T43" s="40">
        <f t="shared" si="109"/>
        <v>-20.028000000000006</v>
      </c>
      <c r="U43" s="139">
        <f>+U27</f>
        <v>-25.141999999999999</v>
      </c>
      <c r="V43" s="40">
        <f t="shared" ref="V43:X43" si="110">+V27-U27</f>
        <v>-8.1350000000000016</v>
      </c>
      <c r="W43" s="40">
        <f t="shared" si="110"/>
        <v>-12.689999999999998</v>
      </c>
      <c r="X43" s="40">
        <f t="shared" si="110"/>
        <v>-12.566000000000003</v>
      </c>
      <c r="Y43" s="139">
        <f>+Y27</f>
        <v>-29.1</v>
      </c>
      <c r="Z43" s="40">
        <f t="shared" ref="Z43:AB43" si="111">+Z27-Y27</f>
        <v>-23.138999999999996</v>
      </c>
      <c r="AA43" s="40">
        <f t="shared" si="111"/>
        <v>-9.2090000000000032</v>
      </c>
      <c r="AB43" s="40">
        <f t="shared" si="111"/>
        <v>23.61</v>
      </c>
      <c r="AC43" s="139">
        <f>+AC27</f>
        <v>-2.9940000000000002</v>
      </c>
      <c r="AD43" s="40">
        <f t="shared" ref="AD43:AF43" si="112">+AD27-AC27</f>
        <v>-26.873999999999999</v>
      </c>
      <c r="AE43" s="40">
        <f t="shared" si="112"/>
        <v>-26.878000000000004</v>
      </c>
      <c r="AF43" s="40">
        <f t="shared" si="112"/>
        <v>-9.7779999999999987</v>
      </c>
      <c r="AG43" s="139">
        <f>+AG27</f>
        <v>-18.321000000000002</v>
      </c>
      <c r="AH43" s="40">
        <f t="shared" ref="AH43:AJ43" si="113">+AH27-AG27</f>
        <v>-30.519000000000002</v>
      </c>
      <c r="AI43" s="40">
        <f t="shared" si="113"/>
        <v>-28.102999999999994</v>
      </c>
      <c r="AJ43" s="40">
        <f t="shared" si="113"/>
        <v>-31.671999999999997</v>
      </c>
      <c r="AK43" s="139">
        <f>+AK27</f>
        <v>-46.134</v>
      </c>
      <c r="AL43" s="40">
        <f t="shared" ref="AL43:AT43" si="114">+AL27-AK27</f>
        <v>-39.590000000000003</v>
      </c>
      <c r="AM43" s="40">
        <f t="shared" si="114"/>
        <v>-24.963999999999999</v>
      </c>
      <c r="AN43" s="40">
        <f t="shared" si="114"/>
        <v>-20.838000000000008</v>
      </c>
      <c r="AO43" s="139">
        <f>+AO27</f>
        <v>-48.1</v>
      </c>
      <c r="AP43" s="40">
        <f t="shared" si="114"/>
        <v>-61.65</v>
      </c>
      <c r="AQ43" s="40">
        <f t="shared" si="103"/>
        <v>-77.436000000000007</v>
      </c>
      <c r="AR43" s="40">
        <f t="shared" si="114"/>
        <v>-52.663999999999987</v>
      </c>
      <c r="AS43" s="139">
        <f>+AS27</f>
        <v>-190.15</v>
      </c>
      <c r="AT43" s="40">
        <f t="shared" si="114"/>
        <v>-91.114000000000004</v>
      </c>
      <c r="AU43" s="40">
        <f t="shared" si="103"/>
        <v>-76.276999999999987</v>
      </c>
      <c r="AV43" s="40">
        <f t="shared" si="103"/>
        <v>-4.6070000000000277</v>
      </c>
    </row>
    <row r="44" spans="1:48" ht="15" customHeight="1" x14ac:dyDescent="0.2">
      <c r="B44" s="46" t="s">
        <v>73</v>
      </c>
      <c r="C44" s="47">
        <v>44.960999999999999</v>
      </c>
      <c r="D44" s="47">
        <f>+D28-C28</f>
        <v>-127.29299999999999</v>
      </c>
      <c r="E44" s="47">
        <f>+E28</f>
        <v>5.7949999999999999</v>
      </c>
      <c r="F44" s="47">
        <f t="shared" ref="F44:H44" si="115">+F28-E28</f>
        <v>6.7989999999999995</v>
      </c>
      <c r="G44" s="47">
        <f t="shared" si="115"/>
        <v>44.116999999999997</v>
      </c>
      <c r="H44" s="47">
        <f t="shared" si="115"/>
        <v>12.632999999999996</v>
      </c>
      <c r="I44" s="47">
        <f>+I28</f>
        <v>66.81</v>
      </c>
      <c r="J44" s="47">
        <f t="shared" ref="J44:L44" si="116">+J28-I28</f>
        <v>39.777999999999992</v>
      </c>
      <c r="K44" s="47">
        <f t="shared" si="116"/>
        <v>40.647999999999996</v>
      </c>
      <c r="L44" s="47">
        <f t="shared" si="116"/>
        <v>31.344000000000023</v>
      </c>
      <c r="M44" s="47">
        <f>+M28</f>
        <v>76.341999999999999</v>
      </c>
      <c r="N44" s="47">
        <f t="shared" ref="N44:P44" si="117">+N28-M28</f>
        <v>66.998000000000005</v>
      </c>
      <c r="O44" s="47">
        <f t="shared" si="117"/>
        <v>53.86699999999999</v>
      </c>
      <c r="P44" s="47">
        <f t="shared" si="117"/>
        <v>45.233000000000004</v>
      </c>
      <c r="Q44" s="47">
        <f>+Q28</f>
        <v>92.372</v>
      </c>
      <c r="R44" s="47">
        <f t="shared" ref="R44:T44" si="118">+R28-Q28</f>
        <v>56.845000000000013</v>
      </c>
      <c r="S44" s="47">
        <f t="shared" si="118"/>
        <v>48.623999999999995</v>
      </c>
      <c r="T44" s="47">
        <f t="shared" si="118"/>
        <v>101.464</v>
      </c>
      <c r="U44" s="47">
        <f>+U28</f>
        <v>147.15</v>
      </c>
      <c r="V44" s="47">
        <f t="shared" ref="V44:X44" si="119">+V28-U28</f>
        <v>-141.25700000000001</v>
      </c>
      <c r="W44" s="47">
        <f t="shared" si="119"/>
        <v>-3.5000000000000142E-2</v>
      </c>
      <c r="X44" s="47">
        <f t="shared" si="119"/>
        <v>-70.119</v>
      </c>
      <c r="Y44" s="47">
        <f>+Y28</f>
        <v>142.38200000000001</v>
      </c>
      <c r="Z44" s="47">
        <f t="shared" ref="Z44:AB44" si="120">+Z28-Y28</f>
        <v>41.567999999999984</v>
      </c>
      <c r="AA44" s="47">
        <f t="shared" si="120"/>
        <v>69.444000000000017</v>
      </c>
      <c r="AB44" s="47">
        <f t="shared" si="120"/>
        <v>-197.48500000000001</v>
      </c>
      <c r="AC44" s="47">
        <f>+AC28</f>
        <v>84.007000000000005</v>
      </c>
      <c r="AD44" s="47">
        <f t="shared" ref="AD44:AF44" si="121">+AD28-AC28</f>
        <v>29.095999999999989</v>
      </c>
      <c r="AE44" s="47">
        <f t="shared" si="121"/>
        <v>40.700000000000003</v>
      </c>
      <c r="AF44" s="47">
        <f t="shared" si="121"/>
        <v>31.663000000000011</v>
      </c>
      <c r="AG44" s="47">
        <f>+AG28</f>
        <v>148.87799999999999</v>
      </c>
      <c r="AH44" s="47">
        <f t="shared" ref="AH44:AJ44" si="122">+AH28-AG28</f>
        <v>72.606000000000023</v>
      </c>
      <c r="AI44" s="47">
        <f t="shared" si="122"/>
        <v>-11.512</v>
      </c>
      <c r="AJ44" s="47">
        <f t="shared" si="122"/>
        <v>114.43899999999999</v>
      </c>
      <c r="AK44" s="47">
        <f>+AK28</f>
        <v>161.71799999999999</v>
      </c>
      <c r="AL44" s="47">
        <f t="shared" ref="AL44:AT44" si="123">+AL28-AK28</f>
        <v>223.864</v>
      </c>
      <c r="AM44" s="47">
        <f t="shared" si="123"/>
        <v>130.81399999999996</v>
      </c>
      <c r="AN44" s="47">
        <f t="shared" si="123"/>
        <v>254.33199999999999</v>
      </c>
      <c r="AO44" s="47">
        <f>+AO28</f>
        <v>241.1</v>
      </c>
      <c r="AP44" s="47">
        <f t="shared" si="123"/>
        <v>279.29200000000003</v>
      </c>
      <c r="AQ44" s="70">
        <v>446.79700000000003</v>
      </c>
      <c r="AR44" s="47">
        <f t="shared" si="123"/>
        <v>433.58299999999838</v>
      </c>
      <c r="AS44" s="47">
        <f>+AS28</f>
        <v>780.90499999999997</v>
      </c>
      <c r="AT44" s="47">
        <f t="shared" si="123"/>
        <v>398.45600000000013</v>
      </c>
      <c r="AU44" s="47">
        <f t="shared" si="103"/>
        <v>256.98799999999983</v>
      </c>
      <c r="AV44" s="47">
        <f t="shared" si="103"/>
        <v>-21.490000000000009</v>
      </c>
    </row>
    <row r="45" spans="1:48" ht="15" customHeight="1" x14ac:dyDescent="0.2">
      <c r="A45" s="55" t="s">
        <v>164</v>
      </c>
      <c r="B45" s="48" t="s">
        <v>68</v>
      </c>
      <c r="C45" s="49">
        <f t="shared" ref="C45:AM45" si="124">+C44/C34</f>
        <v>8.1798136295660212E-2</v>
      </c>
      <c r="D45" s="49">
        <f t="shared" si="124"/>
        <v>-0.17224660900440583</v>
      </c>
      <c r="E45" s="49">
        <f t="shared" si="124"/>
        <v>8.9986568010124463E-3</v>
      </c>
      <c r="F45" s="49">
        <f t="shared" si="124"/>
        <v>1.2157679687430149E-2</v>
      </c>
      <c r="G45" s="49">
        <f t="shared" si="124"/>
        <v>7.3683560033136489E-2</v>
      </c>
      <c r="H45" s="49">
        <f t="shared" si="124"/>
        <v>2.3049975368109907E-2</v>
      </c>
      <c r="I45" s="49">
        <f t="shared" si="124"/>
        <v>0.11097766991742702</v>
      </c>
      <c r="J45" s="49">
        <f t="shared" si="124"/>
        <v>7.9344784184500833E-2</v>
      </c>
      <c r="K45" s="49">
        <f t="shared" si="124"/>
        <v>7.5943360093864251E-2</v>
      </c>
      <c r="L45" s="49">
        <f t="shared" si="124"/>
        <v>5.0301788261953202E-2</v>
      </c>
      <c r="M45" s="49">
        <f t="shared" si="124"/>
        <v>0.11066511849728998</v>
      </c>
      <c r="N45" s="49">
        <f t="shared" si="124"/>
        <v>9.5248791583736128E-2</v>
      </c>
      <c r="O45" s="49">
        <f t="shared" si="124"/>
        <v>6.7754761147077666E-2</v>
      </c>
      <c r="P45" s="49">
        <f t="shared" si="124"/>
        <v>4.4217544099749255E-2</v>
      </c>
      <c r="Q45" s="49">
        <f t="shared" si="124"/>
        <v>9.235546837116157E-2</v>
      </c>
      <c r="R45" s="49">
        <f t="shared" si="124"/>
        <v>5.8580807919461575E-2</v>
      </c>
      <c r="S45" s="49">
        <f t="shared" si="124"/>
        <v>5.1007049345417922E-2</v>
      </c>
      <c r="T45" s="49">
        <f t="shared" si="124"/>
        <v>9.89980573885096E-2</v>
      </c>
      <c r="U45" s="49">
        <f t="shared" si="124"/>
        <v>0.13901353764182406</v>
      </c>
      <c r="V45" s="49">
        <f t="shared" si="124"/>
        <v>-0.15593001435036979</v>
      </c>
      <c r="W45" s="49">
        <f t="shared" si="124"/>
        <v>-3.8627850459450843E-5</v>
      </c>
      <c r="X45" s="49">
        <f t="shared" si="124"/>
        <v>-7.1878293101963669E-2</v>
      </c>
      <c r="Y45" s="49">
        <f t="shared" si="124"/>
        <v>0.12396630894150383</v>
      </c>
      <c r="Z45" s="49">
        <f t="shared" si="124"/>
        <v>4.1836717234799106E-2</v>
      </c>
      <c r="AA45" s="49">
        <f t="shared" si="124"/>
        <v>6.5840047480985792E-2</v>
      </c>
      <c r="AB45" s="49">
        <f t="shared" si="124"/>
        <v>-0.15454038936180536</v>
      </c>
      <c r="AC45" s="49">
        <f t="shared" si="124"/>
        <v>7.6986451513574153E-2</v>
      </c>
      <c r="AD45" s="49">
        <f t="shared" si="124"/>
        <v>3.0659964804687075E-2</v>
      </c>
      <c r="AE45" s="49">
        <f t="shared" si="124"/>
        <v>5.0467913195189298E-2</v>
      </c>
      <c r="AF45" s="49">
        <f t="shared" si="124"/>
        <v>3.0400264224890731E-2</v>
      </c>
      <c r="AG45" s="49">
        <f t="shared" si="124"/>
        <v>0.1083954448255551</v>
      </c>
      <c r="AH45" s="49">
        <f t="shared" si="124"/>
        <v>6.8186300381849307E-2</v>
      </c>
      <c r="AI45" s="49">
        <f t="shared" si="124"/>
        <v>-1.1799869619230756E-2</v>
      </c>
      <c r="AJ45" s="49">
        <f t="shared" si="124"/>
        <v>8.6466682382523974E-2</v>
      </c>
      <c r="AK45" s="49">
        <f t="shared" si="124"/>
        <v>9.8790757342048591E-2</v>
      </c>
      <c r="AL45" s="49">
        <f t="shared" si="124"/>
        <v>0.13111996448238819</v>
      </c>
      <c r="AM45" s="49">
        <f t="shared" si="124"/>
        <v>7.5785436617596763E-2</v>
      </c>
      <c r="AN45" s="49">
        <f t="shared" ref="AN45:AR45" si="125">+AN44/AN34</f>
        <v>0.10523824380587622</v>
      </c>
      <c r="AO45" s="49">
        <f t="shared" si="125"/>
        <v>0.10640227474029415</v>
      </c>
      <c r="AP45" s="49">
        <f t="shared" si="125"/>
        <v>9.8460857250935035E-2</v>
      </c>
      <c r="AQ45" s="49">
        <f t="shared" si="125"/>
        <v>0.13722422521386149</v>
      </c>
      <c r="AR45" s="49">
        <f t="shared" si="125"/>
        <v>0.11444110116926605</v>
      </c>
      <c r="AS45" s="49">
        <f t="shared" ref="AS45:AV45" si="126">+AS44/AS34</f>
        <v>0.17022533950026572</v>
      </c>
      <c r="AT45" s="49">
        <f t="shared" si="126"/>
        <v>0.10715777329258114</v>
      </c>
      <c r="AU45" s="49">
        <f t="shared" si="126"/>
        <v>8.5922381384799046E-2</v>
      </c>
      <c r="AV45" s="49">
        <f t="shared" si="126"/>
        <v>-6.4992428639129964E-3</v>
      </c>
    </row>
    <row r="48" spans="1:48" ht="20.100000000000001" customHeight="1" x14ac:dyDescent="0.2">
      <c r="B48" s="32" t="s">
        <v>151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</row>
    <row r="49" spans="2:48" x14ac:dyDescent="0.2">
      <c r="B49" s="34" t="s">
        <v>65</v>
      </c>
      <c r="C49" s="35" t="s">
        <v>99</v>
      </c>
      <c r="D49" s="35">
        <v>2008</v>
      </c>
      <c r="E49" s="35" t="s">
        <v>100</v>
      </c>
      <c r="F49" s="35" t="s">
        <v>101</v>
      </c>
      <c r="G49" s="35" t="s">
        <v>102</v>
      </c>
      <c r="H49" s="35">
        <v>2009</v>
      </c>
      <c r="I49" s="35" t="s">
        <v>103</v>
      </c>
      <c r="J49" s="35" t="s">
        <v>104</v>
      </c>
      <c r="K49" s="35" t="s">
        <v>105</v>
      </c>
      <c r="L49" s="35">
        <v>2010</v>
      </c>
      <c r="M49" s="35" t="s">
        <v>106</v>
      </c>
      <c r="N49" s="35" t="s">
        <v>107</v>
      </c>
      <c r="O49" s="35" t="s">
        <v>108</v>
      </c>
      <c r="P49" s="35">
        <v>2011</v>
      </c>
      <c r="Q49" s="35" t="s">
        <v>96</v>
      </c>
      <c r="R49" s="35" t="s">
        <v>97</v>
      </c>
      <c r="S49" s="35" t="s">
        <v>98</v>
      </c>
      <c r="T49" s="35">
        <v>2012</v>
      </c>
      <c r="U49" s="35" t="s">
        <v>93</v>
      </c>
      <c r="V49" s="35" t="s">
        <v>94</v>
      </c>
      <c r="W49" s="35" t="s">
        <v>95</v>
      </c>
      <c r="X49" s="35">
        <v>2013</v>
      </c>
      <c r="Y49" s="35" t="s">
        <v>90</v>
      </c>
      <c r="Z49" s="35" t="s">
        <v>91</v>
      </c>
      <c r="AA49" s="35" t="s">
        <v>92</v>
      </c>
      <c r="AB49" s="35">
        <v>2014</v>
      </c>
      <c r="AC49" s="35" t="s">
        <v>87</v>
      </c>
      <c r="AD49" s="35" t="s">
        <v>88</v>
      </c>
      <c r="AE49" s="35" t="s">
        <v>89</v>
      </c>
      <c r="AF49" s="35">
        <v>2015</v>
      </c>
      <c r="AG49" s="35" t="s">
        <v>84</v>
      </c>
      <c r="AH49" s="35" t="s">
        <v>85</v>
      </c>
      <c r="AI49" s="35" t="s">
        <v>86</v>
      </c>
      <c r="AJ49" s="35">
        <v>2016</v>
      </c>
      <c r="AK49" s="35" t="s">
        <v>83</v>
      </c>
      <c r="AL49" s="35" t="s">
        <v>82</v>
      </c>
      <c r="AM49" s="35" t="s">
        <v>81</v>
      </c>
      <c r="AN49" s="35">
        <v>2017</v>
      </c>
      <c r="AO49" s="35" t="s">
        <v>171</v>
      </c>
      <c r="AP49" s="35" t="s">
        <v>174</v>
      </c>
      <c r="AQ49" s="35" t="s">
        <v>176</v>
      </c>
      <c r="AR49" s="35">
        <v>2018</v>
      </c>
      <c r="AS49" s="35" t="s">
        <v>187</v>
      </c>
      <c r="AT49" s="35" t="s">
        <v>189</v>
      </c>
      <c r="AU49" s="35" t="s">
        <v>192</v>
      </c>
      <c r="AV49" s="35">
        <v>2019</v>
      </c>
    </row>
    <row r="50" spans="2:48" ht="15" customHeight="1" x14ac:dyDescent="0.2">
      <c r="B50" s="42" t="s">
        <v>58</v>
      </c>
      <c r="C50" s="10">
        <v>901</v>
      </c>
      <c r="D50" s="10">
        <v>1319</v>
      </c>
      <c r="E50" s="10">
        <v>322</v>
      </c>
      <c r="F50" s="10">
        <v>647</v>
      </c>
      <c r="G50" s="10">
        <v>1006</v>
      </c>
      <c r="H50" s="10">
        <v>1341</v>
      </c>
      <c r="I50" s="10">
        <v>234</v>
      </c>
      <c r="J50" s="10">
        <v>515</v>
      </c>
      <c r="K50" s="10">
        <v>778</v>
      </c>
      <c r="L50" s="10">
        <v>1111</v>
      </c>
      <c r="M50" s="10">
        <v>289</v>
      </c>
      <c r="N50" s="10">
        <v>702</v>
      </c>
      <c r="O50" s="10">
        <v>1158</v>
      </c>
      <c r="P50" s="10">
        <v>1864</v>
      </c>
      <c r="Q50" s="10">
        <v>526</v>
      </c>
      <c r="R50" s="10">
        <v>1122</v>
      </c>
      <c r="S50" s="10">
        <v>1740</v>
      </c>
      <c r="T50" s="10">
        <v>2395</v>
      </c>
      <c r="U50" s="10">
        <v>554</v>
      </c>
      <c r="V50" s="10">
        <v>1148</v>
      </c>
      <c r="W50" s="10">
        <v>1747</v>
      </c>
      <c r="X50" s="10">
        <v>2327</v>
      </c>
      <c r="Y50" s="10">
        <v>609</v>
      </c>
      <c r="Z50" s="10">
        <v>1272</v>
      </c>
      <c r="AA50" s="10">
        <v>1981</v>
      </c>
      <c r="AB50" s="10">
        <v>2768</v>
      </c>
      <c r="AC50" s="10">
        <v>485</v>
      </c>
      <c r="AD50" s="10">
        <v>1017</v>
      </c>
      <c r="AE50" s="10">
        <v>1501</v>
      </c>
      <c r="AF50" s="10">
        <v>2153</v>
      </c>
      <c r="AG50" s="10">
        <v>628</v>
      </c>
      <c r="AH50" s="10">
        <v>1318</v>
      </c>
      <c r="AI50" s="10">
        <v>1974.864</v>
      </c>
      <c r="AJ50" s="10">
        <v>2824</v>
      </c>
      <c r="AK50" s="10">
        <v>911</v>
      </c>
      <c r="AL50" s="10">
        <v>1950</v>
      </c>
      <c r="AM50" s="10">
        <v>3077.6869999999999</v>
      </c>
      <c r="AN50" s="10">
        <v>4861.54</v>
      </c>
      <c r="AO50" s="3">
        <v>1488.3</v>
      </c>
      <c r="AP50" s="3">
        <v>3597.7489999999998</v>
      </c>
      <c r="AQ50" s="59">
        <v>6091.0190000000002</v>
      </c>
      <c r="AR50" s="3">
        <v>9108.5069999999996</v>
      </c>
      <c r="AS50" s="3">
        <v>3334.1680000000001</v>
      </c>
      <c r="AT50" s="3">
        <v>5983.652</v>
      </c>
      <c r="AU50" s="3">
        <v>8246.1679999999997</v>
      </c>
      <c r="AV50" s="3">
        <v>10539.071</v>
      </c>
    </row>
    <row r="51" spans="2:48" ht="15" customHeight="1" x14ac:dyDescent="0.2">
      <c r="B51" s="24" t="s">
        <v>74</v>
      </c>
      <c r="C51" s="3">
        <v>811</v>
      </c>
      <c r="D51" s="3">
        <v>1111</v>
      </c>
      <c r="E51" s="3">
        <v>301</v>
      </c>
      <c r="F51" s="3">
        <v>474</v>
      </c>
      <c r="G51" s="3">
        <v>693</v>
      </c>
      <c r="H51" s="3">
        <v>883</v>
      </c>
      <c r="I51" s="3">
        <v>342</v>
      </c>
      <c r="J51" s="3">
        <v>527</v>
      </c>
      <c r="K51" s="3">
        <v>767</v>
      </c>
      <c r="L51" s="3">
        <v>1027</v>
      </c>
      <c r="M51" s="3">
        <v>371</v>
      </c>
      <c r="N51" s="3">
        <v>628</v>
      </c>
      <c r="O51" s="3">
        <v>923</v>
      </c>
      <c r="P51" s="3">
        <v>1208</v>
      </c>
      <c r="Q51" s="3">
        <v>451</v>
      </c>
      <c r="R51" s="3">
        <v>798</v>
      </c>
      <c r="S51" s="3">
        <v>1067</v>
      </c>
      <c r="T51" s="3">
        <v>1424</v>
      </c>
      <c r="U51" s="3">
        <v>477</v>
      </c>
      <c r="V51" s="3">
        <v>764</v>
      </c>
      <c r="W51" s="3">
        <v>1050</v>
      </c>
      <c r="X51" s="3">
        <v>1423</v>
      </c>
      <c r="Y51" s="3">
        <v>514</v>
      </c>
      <c r="Z51" s="3">
        <v>820</v>
      </c>
      <c r="AA51" s="3">
        <v>1145</v>
      </c>
      <c r="AB51" s="3">
        <v>1626</v>
      </c>
      <c r="AC51" s="3">
        <v>586</v>
      </c>
      <c r="AD51" s="3">
        <v>978</v>
      </c>
      <c r="AE51" s="3">
        <v>1284</v>
      </c>
      <c r="AF51" s="3">
        <v>1659</v>
      </c>
      <c r="AG51" s="3">
        <v>731</v>
      </c>
      <c r="AH51" s="3">
        <v>1091</v>
      </c>
      <c r="AI51" s="3">
        <v>1393.47</v>
      </c>
      <c r="AJ51" s="3">
        <v>1851</v>
      </c>
      <c r="AK51" s="3">
        <v>676</v>
      </c>
      <c r="AL51" s="3">
        <v>1156</v>
      </c>
      <c r="AM51" s="3">
        <v>1654.432</v>
      </c>
      <c r="AN51" s="3">
        <v>2240.4340000000002</v>
      </c>
      <c r="AO51" s="3">
        <v>743.7</v>
      </c>
      <c r="AP51" s="3">
        <v>1444.998</v>
      </c>
      <c r="AQ51" s="59">
        <v>2155.5390000000002</v>
      </c>
      <c r="AR51" s="3">
        <v>2964.56</v>
      </c>
      <c r="AS51" s="3">
        <v>1241.3910000000001</v>
      </c>
      <c r="AT51" s="3">
        <v>2298.6480000000001</v>
      </c>
      <c r="AU51" s="3">
        <v>3015.3539999999998</v>
      </c>
      <c r="AV51" s="3">
        <v>3983.2840000000001</v>
      </c>
    </row>
    <row r="52" spans="2:48" ht="15" customHeight="1" x14ac:dyDescent="0.2">
      <c r="B52" s="52" t="s">
        <v>184</v>
      </c>
      <c r="C52" s="13">
        <v>781</v>
      </c>
      <c r="D52" s="13">
        <v>1069</v>
      </c>
      <c r="E52" s="13">
        <v>290</v>
      </c>
      <c r="F52" s="13">
        <v>450</v>
      </c>
      <c r="G52" s="13">
        <v>654</v>
      </c>
      <c r="H52" s="13">
        <v>830</v>
      </c>
      <c r="I52" s="13">
        <v>329</v>
      </c>
      <c r="J52" s="13">
        <v>498</v>
      </c>
      <c r="K52" s="13">
        <v>723</v>
      </c>
      <c r="L52" s="13">
        <v>969</v>
      </c>
      <c r="M52" s="13">
        <v>358</v>
      </c>
      <c r="N52" s="13">
        <v>600</v>
      </c>
      <c r="O52" s="13">
        <v>880</v>
      </c>
      <c r="P52" s="13">
        <v>1152</v>
      </c>
      <c r="Q52" s="13">
        <v>438</v>
      </c>
      <c r="R52" s="13">
        <v>768</v>
      </c>
      <c r="S52" s="13">
        <v>1020</v>
      </c>
      <c r="T52" s="13">
        <v>1357</v>
      </c>
      <c r="U52" s="13">
        <v>460</v>
      </c>
      <c r="V52" s="13">
        <v>731</v>
      </c>
      <c r="W52" s="13">
        <v>997</v>
      </c>
      <c r="X52" s="13">
        <v>1354</v>
      </c>
      <c r="Y52" s="13">
        <v>493</v>
      </c>
      <c r="Z52" s="13">
        <v>786</v>
      </c>
      <c r="AA52" s="13">
        <v>1088</v>
      </c>
      <c r="AB52" s="13">
        <v>1541</v>
      </c>
      <c r="AC52" s="13">
        <v>559</v>
      </c>
      <c r="AD52" s="13">
        <v>925</v>
      </c>
      <c r="AE52" s="13">
        <v>1198</v>
      </c>
      <c r="AF52" s="13">
        <v>1536</v>
      </c>
      <c r="AG52" s="13">
        <v>695</v>
      </c>
      <c r="AH52" s="13">
        <v>1023</v>
      </c>
      <c r="AI52" s="13">
        <v>1294</v>
      </c>
      <c r="AJ52" s="53">
        <v>1715</v>
      </c>
      <c r="AK52" s="13">
        <v>637</v>
      </c>
      <c r="AL52" s="13">
        <v>1079</v>
      </c>
      <c r="AM52" s="13">
        <v>1518</v>
      </c>
      <c r="AN52" s="13">
        <v>2069</v>
      </c>
      <c r="AO52" s="13">
        <v>713</v>
      </c>
      <c r="AP52" s="13">
        <v>1303</v>
      </c>
      <c r="AQ52" s="72">
        <v>1927</v>
      </c>
      <c r="AR52" s="13">
        <v>2664</v>
      </c>
      <c r="AS52" s="13">
        <v>1211</v>
      </c>
      <c r="AT52" s="13">
        <v>2153</v>
      </c>
      <c r="AU52" s="72">
        <v>2773</v>
      </c>
      <c r="AV52" s="72">
        <v>3631</v>
      </c>
    </row>
    <row r="53" spans="2:48" ht="15" customHeight="1" x14ac:dyDescent="0.2">
      <c r="B53" s="52" t="s">
        <v>169</v>
      </c>
      <c r="C53" s="13">
        <v>30</v>
      </c>
      <c r="D53" s="13">
        <v>42</v>
      </c>
      <c r="E53" s="13">
        <v>11</v>
      </c>
      <c r="F53" s="13">
        <v>24</v>
      </c>
      <c r="G53" s="13">
        <v>39</v>
      </c>
      <c r="H53" s="13">
        <v>53</v>
      </c>
      <c r="I53" s="13">
        <v>13</v>
      </c>
      <c r="J53" s="13">
        <v>29</v>
      </c>
      <c r="K53" s="13">
        <v>44</v>
      </c>
      <c r="L53" s="13">
        <v>58</v>
      </c>
      <c r="M53" s="13">
        <v>13</v>
      </c>
      <c r="N53" s="13">
        <v>28</v>
      </c>
      <c r="O53" s="13">
        <v>43</v>
      </c>
      <c r="P53" s="13">
        <v>56</v>
      </c>
      <c r="Q53" s="13">
        <v>13</v>
      </c>
      <c r="R53" s="13">
        <v>30</v>
      </c>
      <c r="S53" s="13">
        <v>47</v>
      </c>
      <c r="T53" s="13">
        <v>67</v>
      </c>
      <c r="U53" s="13">
        <v>17</v>
      </c>
      <c r="V53" s="13">
        <v>33</v>
      </c>
      <c r="W53" s="13">
        <v>53</v>
      </c>
      <c r="X53" s="13">
        <v>69</v>
      </c>
      <c r="Y53" s="13">
        <v>21</v>
      </c>
      <c r="Z53" s="13">
        <v>34</v>
      </c>
      <c r="AA53" s="13">
        <v>57</v>
      </c>
      <c r="AB53" s="13">
        <v>85</v>
      </c>
      <c r="AC53" s="13">
        <v>27</v>
      </c>
      <c r="AD53" s="13">
        <v>53</v>
      </c>
      <c r="AE53" s="13">
        <v>86</v>
      </c>
      <c r="AF53" s="13">
        <v>123</v>
      </c>
      <c r="AG53" s="13">
        <v>36</v>
      </c>
      <c r="AH53" s="13">
        <v>68</v>
      </c>
      <c r="AI53" s="13">
        <v>99</v>
      </c>
      <c r="AJ53" s="13">
        <v>137</v>
      </c>
      <c r="AK53" s="13">
        <v>39</v>
      </c>
      <c r="AL53" s="13">
        <v>77</v>
      </c>
      <c r="AM53" s="13">
        <v>124</v>
      </c>
      <c r="AN53" s="13">
        <v>171</v>
      </c>
      <c r="AO53" s="13">
        <v>32</v>
      </c>
      <c r="AP53" s="13">
        <v>68</v>
      </c>
      <c r="AQ53" s="72">
        <v>102</v>
      </c>
      <c r="AR53" s="13">
        <v>143</v>
      </c>
      <c r="AS53" s="13">
        <v>23</v>
      </c>
      <c r="AT53" s="13">
        <v>65</v>
      </c>
      <c r="AU53" s="72">
        <v>94.685000000000002</v>
      </c>
      <c r="AV53" s="72">
        <v>145</v>
      </c>
    </row>
    <row r="54" spans="2:48" ht="15" customHeight="1" x14ac:dyDescent="0.2">
      <c r="B54" s="52" t="s">
        <v>183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>
        <v>10</v>
      </c>
      <c r="AM54" s="13">
        <v>13</v>
      </c>
      <c r="AN54" s="13">
        <v>34</v>
      </c>
      <c r="AO54" s="13">
        <v>1</v>
      </c>
      <c r="AP54" s="13">
        <v>13</v>
      </c>
      <c r="AQ54" s="72">
        <v>127</v>
      </c>
      <c r="AR54" s="13">
        <v>158</v>
      </c>
      <c r="AS54" s="13">
        <v>8</v>
      </c>
      <c r="AT54" s="13">
        <v>81</v>
      </c>
      <c r="AU54" s="72">
        <v>147</v>
      </c>
      <c r="AV54" s="72">
        <v>207</v>
      </c>
    </row>
    <row r="55" spans="2:48" ht="15" customHeight="1" x14ac:dyDescent="0.2">
      <c r="B55" s="24" t="s">
        <v>75</v>
      </c>
      <c r="C55" s="3">
        <v>25</v>
      </c>
      <c r="D55" s="3">
        <v>31</v>
      </c>
      <c r="E55" s="3">
        <v>6</v>
      </c>
      <c r="F55" s="3">
        <v>48</v>
      </c>
      <c r="G55" s="3">
        <v>53</v>
      </c>
      <c r="H55" s="3">
        <v>63</v>
      </c>
      <c r="I55" s="3">
        <v>10</v>
      </c>
      <c r="J55" s="3">
        <v>26</v>
      </c>
      <c r="K55" s="3">
        <v>41</v>
      </c>
      <c r="L55" s="3">
        <v>54</v>
      </c>
      <c r="M55" s="3">
        <v>10</v>
      </c>
      <c r="N55" s="3">
        <v>24</v>
      </c>
      <c r="O55" s="3">
        <v>44</v>
      </c>
      <c r="P55" s="3">
        <v>58</v>
      </c>
      <c r="Q55" s="3">
        <v>6</v>
      </c>
      <c r="R55" s="3">
        <v>11</v>
      </c>
      <c r="S55" s="3">
        <v>59</v>
      </c>
      <c r="T55" s="3">
        <v>61</v>
      </c>
      <c r="U55" s="3">
        <v>10</v>
      </c>
      <c r="V55" s="3">
        <v>17</v>
      </c>
      <c r="W55" s="3">
        <v>23</v>
      </c>
      <c r="X55" s="3">
        <v>30</v>
      </c>
      <c r="Y55" s="3">
        <v>7</v>
      </c>
      <c r="Z55" s="3">
        <v>13</v>
      </c>
      <c r="AA55" s="3">
        <v>20</v>
      </c>
      <c r="AB55" s="3">
        <v>26</v>
      </c>
      <c r="AC55" s="3">
        <v>7</v>
      </c>
      <c r="AD55" s="3">
        <v>14</v>
      </c>
      <c r="AE55" s="3">
        <v>21</v>
      </c>
      <c r="AF55" s="3">
        <v>28</v>
      </c>
      <c r="AG55" s="3">
        <v>7</v>
      </c>
      <c r="AH55" s="3">
        <v>14</v>
      </c>
      <c r="AI55" s="3">
        <v>23.59</v>
      </c>
      <c r="AJ55" s="3">
        <v>33</v>
      </c>
      <c r="AK55" s="3">
        <v>42</v>
      </c>
      <c r="AL55" s="3">
        <v>222</v>
      </c>
      <c r="AM55" s="3">
        <v>312.72699999999998</v>
      </c>
      <c r="AN55" s="3">
        <v>350.74400000000003</v>
      </c>
      <c r="AO55" s="13">
        <v>24.3</v>
      </c>
      <c r="AP55" s="13">
        <v>40.229999999999997</v>
      </c>
      <c r="AQ55" s="72">
        <v>81.495000000000005</v>
      </c>
      <c r="AR55" s="13">
        <v>134.465</v>
      </c>
      <c r="AS55" s="13">
        <v>45.704999999999998</v>
      </c>
      <c r="AT55" s="13">
        <v>66.742000000000004</v>
      </c>
      <c r="AU55" s="13">
        <v>103.084</v>
      </c>
      <c r="AV55" s="73"/>
    </row>
    <row r="56" spans="2:48" ht="15" customHeight="1" x14ac:dyDescent="0.2">
      <c r="B56" s="24" t="s">
        <v>76</v>
      </c>
      <c r="C56" s="3">
        <v>42</v>
      </c>
      <c r="D56" s="3">
        <v>58</v>
      </c>
      <c r="E56" s="3">
        <v>15</v>
      </c>
      <c r="F56" s="3">
        <v>34</v>
      </c>
      <c r="G56" s="3">
        <v>50</v>
      </c>
      <c r="H56" s="3">
        <v>63</v>
      </c>
      <c r="I56" s="3">
        <v>16</v>
      </c>
      <c r="J56" s="3">
        <v>36</v>
      </c>
      <c r="K56" s="3">
        <v>53</v>
      </c>
      <c r="L56" s="3">
        <v>71</v>
      </c>
      <c r="M56" s="3">
        <v>21</v>
      </c>
      <c r="N56" s="3">
        <v>40</v>
      </c>
      <c r="O56" s="3">
        <v>62</v>
      </c>
      <c r="P56" s="3">
        <v>81</v>
      </c>
      <c r="Q56" s="3">
        <v>18</v>
      </c>
      <c r="R56" s="3">
        <v>39</v>
      </c>
      <c r="S56" s="3">
        <v>58</v>
      </c>
      <c r="T56" s="3">
        <v>68</v>
      </c>
      <c r="U56" s="3">
        <v>18</v>
      </c>
      <c r="V56" s="3">
        <v>36</v>
      </c>
      <c r="W56" s="3">
        <v>50</v>
      </c>
      <c r="X56" s="3">
        <v>67</v>
      </c>
      <c r="Y56" s="3">
        <v>19</v>
      </c>
      <c r="Z56" s="3">
        <v>36</v>
      </c>
      <c r="AA56" s="3">
        <v>51</v>
      </c>
      <c r="AB56" s="3">
        <v>55</v>
      </c>
      <c r="AC56" s="3">
        <v>13</v>
      </c>
      <c r="AD56" s="3">
        <v>31</v>
      </c>
      <c r="AE56" s="3">
        <v>41</v>
      </c>
      <c r="AF56" s="3">
        <v>48</v>
      </c>
      <c r="AG56" s="3">
        <v>7</v>
      </c>
      <c r="AH56" s="3">
        <v>14</v>
      </c>
      <c r="AI56" s="3">
        <v>21.969000000000001</v>
      </c>
      <c r="AJ56" s="3">
        <v>30</v>
      </c>
      <c r="AK56" s="3">
        <v>8</v>
      </c>
      <c r="AL56" s="3">
        <v>17</v>
      </c>
      <c r="AM56" s="3">
        <v>25.561</v>
      </c>
      <c r="AN56" s="3">
        <v>34.414999999999999</v>
      </c>
      <c r="AO56" s="3">
        <v>9.6</v>
      </c>
      <c r="AP56" s="3">
        <v>19.530999999999999</v>
      </c>
      <c r="AQ56" s="59">
        <v>30.417999999999999</v>
      </c>
      <c r="AR56" s="3">
        <v>74.103999999999999</v>
      </c>
      <c r="AS56" s="3">
        <v>11.919</v>
      </c>
      <c r="AT56" s="3">
        <v>23.582999999999998</v>
      </c>
      <c r="AU56" s="3">
        <v>35.292999999999999</v>
      </c>
      <c r="AV56" s="3">
        <v>80.998999999999995</v>
      </c>
    </row>
    <row r="57" spans="2:48" ht="15" customHeight="1" x14ac:dyDescent="0.2">
      <c r="B57" s="43" t="s">
        <v>77</v>
      </c>
      <c r="C57" s="44">
        <v>1779</v>
      </c>
      <c r="D57" s="44">
        <v>2518</v>
      </c>
      <c r="E57" s="44">
        <v>644</v>
      </c>
      <c r="F57" s="44">
        <v>1203</v>
      </c>
      <c r="G57" s="44">
        <v>1802</v>
      </c>
      <c r="H57" s="44">
        <v>2350</v>
      </c>
      <c r="I57" s="44">
        <v>602</v>
      </c>
      <c r="J57" s="44">
        <v>1103</v>
      </c>
      <c r="K57" s="44">
        <v>1639</v>
      </c>
      <c r="L57" s="44">
        <v>2262</v>
      </c>
      <c r="M57" s="44">
        <v>690</v>
      </c>
      <c r="N57" s="44">
        <v>1393</v>
      </c>
      <c r="O57" s="44">
        <v>2188</v>
      </c>
      <c r="P57" s="44">
        <v>3211</v>
      </c>
      <c r="Q57" s="44">
        <v>1000</v>
      </c>
      <c r="R57" s="44">
        <v>1971</v>
      </c>
      <c r="S57" s="44">
        <v>2924</v>
      </c>
      <c r="T57" s="44">
        <v>3949</v>
      </c>
      <c r="U57" s="44">
        <v>1059</v>
      </c>
      <c r="V57" s="44">
        <v>1964</v>
      </c>
      <c r="W57" s="44">
        <v>2871</v>
      </c>
      <c r="X57" s="44">
        <v>3846</v>
      </c>
      <c r="Y57" s="44">
        <v>1149</v>
      </c>
      <c r="Z57" s="44">
        <v>2142</v>
      </c>
      <c r="AA57" s="44">
        <v>3197</v>
      </c>
      <c r="AB57" s="44">
        <v>4475</v>
      </c>
      <c r="AC57" s="44">
        <v>1091</v>
      </c>
      <c r="AD57" s="44">
        <v>2040</v>
      </c>
      <c r="AE57" s="44">
        <v>2847</v>
      </c>
      <c r="AF57" s="44">
        <v>3888</v>
      </c>
      <c r="AG57" s="44">
        <v>1373</v>
      </c>
      <c r="AH57" s="44">
        <v>2438</v>
      </c>
      <c r="AI57" s="44">
        <v>3413.893</v>
      </c>
      <c r="AJ57" s="44">
        <v>4737</v>
      </c>
      <c r="AK57" s="44">
        <v>1637</v>
      </c>
      <c r="AL57" s="44">
        <v>3344</v>
      </c>
      <c r="AM57" s="44">
        <v>5070.4070000000002</v>
      </c>
      <c r="AN57" s="44">
        <v>7487.1329999999998</v>
      </c>
      <c r="AO57" s="44">
        <v>2265.9</v>
      </c>
      <c r="AP57" s="44">
        <v>5102.5079999999998</v>
      </c>
      <c r="AQ57" s="44">
        <v>8358.4709999999995</v>
      </c>
      <c r="AR57" s="44">
        <v>12147.171</v>
      </c>
      <c r="AS57" s="44">
        <v>4587.4780000000001</v>
      </c>
      <c r="AT57" s="44">
        <v>8305.8829999999998</v>
      </c>
      <c r="AU57" s="44">
        <v>11296.815000000001</v>
      </c>
      <c r="AV57" s="44">
        <v>14603.353999999999</v>
      </c>
    </row>
    <row r="58" spans="2:48" ht="15" customHeight="1" x14ac:dyDescent="0.2">
      <c r="B58" s="42" t="s">
        <v>58</v>
      </c>
      <c r="C58" s="3">
        <v>101</v>
      </c>
      <c r="D58" s="3">
        <v>112</v>
      </c>
      <c r="E58" s="3">
        <v>51</v>
      </c>
      <c r="F58" s="3">
        <v>77</v>
      </c>
      <c r="G58" s="3">
        <v>114</v>
      </c>
      <c r="H58" s="3">
        <v>150</v>
      </c>
      <c r="I58" s="3">
        <v>39</v>
      </c>
      <c r="J58" s="3">
        <v>76</v>
      </c>
      <c r="K58" s="3">
        <v>100</v>
      </c>
      <c r="L58" s="3">
        <v>147</v>
      </c>
      <c r="M58" s="3">
        <v>12</v>
      </c>
      <c r="N58" s="3">
        <v>58</v>
      </c>
      <c r="O58" s="3">
        <v>103</v>
      </c>
      <c r="P58" s="3">
        <v>173</v>
      </c>
      <c r="Q58" s="3">
        <v>57</v>
      </c>
      <c r="R58" s="3">
        <v>98</v>
      </c>
      <c r="S58" s="3">
        <v>147</v>
      </c>
      <c r="T58" s="3">
        <v>142</v>
      </c>
      <c r="U58" s="3">
        <v>57</v>
      </c>
      <c r="V58" s="3">
        <v>-51</v>
      </c>
      <c r="W58" s="3">
        <v>-27</v>
      </c>
      <c r="X58" s="3">
        <v>-100</v>
      </c>
      <c r="Y58" s="3">
        <v>52</v>
      </c>
      <c r="Z58" s="3">
        <v>108</v>
      </c>
      <c r="AA58" s="3">
        <v>147</v>
      </c>
      <c r="AB58" s="3">
        <v>-38</v>
      </c>
      <c r="AC58" s="3">
        <v>18</v>
      </c>
      <c r="AD58" s="3">
        <v>79</v>
      </c>
      <c r="AE58" s="3">
        <v>137</v>
      </c>
      <c r="AF58" s="3">
        <v>164</v>
      </c>
      <c r="AG58" s="3">
        <v>71</v>
      </c>
      <c r="AH58" s="3">
        <v>132</v>
      </c>
      <c r="AI58" s="3">
        <v>139</v>
      </c>
      <c r="AJ58" s="3">
        <v>261</v>
      </c>
      <c r="AK58" s="3">
        <v>64</v>
      </c>
      <c r="AL58" s="3">
        <v>233</v>
      </c>
      <c r="AM58" s="3">
        <v>341</v>
      </c>
      <c r="AN58" s="3">
        <v>548</v>
      </c>
      <c r="AO58" s="3">
        <v>162</v>
      </c>
      <c r="AP58" s="3">
        <v>343</v>
      </c>
      <c r="AQ58" s="3">
        <v>570.75800000000004</v>
      </c>
      <c r="AR58" s="3">
        <v>955.76700000000005</v>
      </c>
      <c r="AS58" s="3">
        <v>802.93700000000001</v>
      </c>
      <c r="AT58" s="3">
        <v>1076.51</v>
      </c>
      <c r="AU58" s="3">
        <v>1395.0119999999999</v>
      </c>
      <c r="AV58" s="3">
        <v>1447.9939999999999</v>
      </c>
    </row>
    <row r="59" spans="2:48" ht="15" customHeight="1" x14ac:dyDescent="0.2">
      <c r="B59" s="24" t="s">
        <v>74</v>
      </c>
      <c r="C59" s="3">
        <v>221</v>
      </c>
      <c r="D59" s="3">
        <v>148</v>
      </c>
      <c r="E59" s="3">
        <v>42</v>
      </c>
      <c r="F59" s="3">
        <v>3</v>
      </c>
      <c r="G59" s="3">
        <v>27</v>
      </c>
      <c r="H59" s="3">
        <v>42</v>
      </c>
      <c r="I59" s="3">
        <v>68</v>
      </c>
      <c r="J59" s="3">
        <v>95</v>
      </c>
      <c r="K59" s="3">
        <v>117</v>
      </c>
      <c r="L59" s="3">
        <v>147</v>
      </c>
      <c r="M59" s="3">
        <v>82</v>
      </c>
      <c r="N59" s="3">
        <v>133</v>
      </c>
      <c r="O59" s="3">
        <v>180</v>
      </c>
      <c r="P59" s="3">
        <v>191</v>
      </c>
      <c r="Q59" s="3">
        <v>41</v>
      </c>
      <c r="R59" s="3">
        <v>91</v>
      </c>
      <c r="S59" s="3">
        <v>107</v>
      </c>
      <c r="T59" s="3">
        <v>137</v>
      </c>
      <c r="U59" s="3">
        <v>63</v>
      </c>
      <c r="V59" s="3">
        <v>74</v>
      </c>
      <c r="W59" s="3">
        <v>90</v>
      </c>
      <c r="X59" s="3">
        <v>117</v>
      </c>
      <c r="Y59" s="3">
        <v>118</v>
      </c>
      <c r="Z59" s="3">
        <v>147</v>
      </c>
      <c r="AA59" s="3">
        <v>196</v>
      </c>
      <c r="AB59" s="3">
        <v>248</v>
      </c>
      <c r="AC59" s="3">
        <v>60</v>
      </c>
      <c r="AD59" s="3">
        <v>87</v>
      </c>
      <c r="AE59" s="3">
        <v>121</v>
      </c>
      <c r="AF59" s="3">
        <v>145</v>
      </c>
      <c r="AG59" s="3">
        <v>121</v>
      </c>
      <c r="AH59" s="3">
        <v>180</v>
      </c>
      <c r="AI59" s="3">
        <v>225</v>
      </c>
      <c r="AJ59" s="3">
        <v>290</v>
      </c>
      <c r="AK59" s="3">
        <v>161</v>
      </c>
      <c r="AL59" s="3">
        <v>246</v>
      </c>
      <c r="AM59" s="3">
        <v>345</v>
      </c>
      <c r="AN59" s="3">
        <v>468</v>
      </c>
      <c r="AO59" s="3">
        <v>136</v>
      </c>
      <c r="AP59" s="3">
        <v>264.71899999999999</v>
      </c>
      <c r="AQ59" s="3">
        <v>428.41399999999999</v>
      </c>
      <c r="AR59" s="3">
        <v>589.26499999999999</v>
      </c>
      <c r="AS59" s="3">
        <v>161.78</v>
      </c>
      <c r="AT59" s="3">
        <v>366.036</v>
      </c>
      <c r="AU59" s="3">
        <v>458.86599999999999</v>
      </c>
      <c r="AV59" s="3">
        <v>553.93200000000002</v>
      </c>
    </row>
    <row r="60" spans="2:48" ht="15" customHeight="1" x14ac:dyDescent="0.2">
      <c r="B60" s="52" t="s">
        <v>184</v>
      </c>
      <c r="C60" s="13">
        <v>207</v>
      </c>
      <c r="D60" s="13">
        <v>128</v>
      </c>
      <c r="E60" s="13">
        <v>37</v>
      </c>
      <c r="F60" s="13">
        <v>-9</v>
      </c>
      <c r="G60" s="13">
        <v>7</v>
      </c>
      <c r="H60" s="13">
        <v>15</v>
      </c>
      <c r="I60" s="13">
        <v>61</v>
      </c>
      <c r="J60" s="13">
        <v>79</v>
      </c>
      <c r="K60" s="13">
        <v>93</v>
      </c>
      <c r="L60" s="13">
        <v>116</v>
      </c>
      <c r="M60" s="13">
        <v>75</v>
      </c>
      <c r="N60" s="13">
        <v>119</v>
      </c>
      <c r="O60" s="13">
        <v>160</v>
      </c>
      <c r="P60" s="13">
        <v>166</v>
      </c>
      <c r="Q60" s="13">
        <v>36</v>
      </c>
      <c r="R60" s="13">
        <v>79</v>
      </c>
      <c r="S60" s="13">
        <v>88</v>
      </c>
      <c r="T60" s="13">
        <v>110</v>
      </c>
      <c r="U60" s="13">
        <v>56</v>
      </c>
      <c r="V60" s="13">
        <v>60</v>
      </c>
      <c r="W60" s="13">
        <v>67</v>
      </c>
      <c r="X60" s="13">
        <v>87</v>
      </c>
      <c r="Y60" s="13">
        <v>106</v>
      </c>
      <c r="Z60" s="13">
        <v>130</v>
      </c>
      <c r="AA60" s="13">
        <v>169</v>
      </c>
      <c r="AB60" s="13">
        <v>206</v>
      </c>
      <c r="AC60" s="13">
        <v>45</v>
      </c>
      <c r="AD60" s="13">
        <v>58</v>
      </c>
      <c r="AE60" s="13">
        <v>72</v>
      </c>
      <c r="AF60" s="13">
        <v>73</v>
      </c>
      <c r="AG60" s="13">
        <v>98</v>
      </c>
      <c r="AH60" s="13">
        <v>137</v>
      </c>
      <c r="AI60" s="13">
        <v>161</v>
      </c>
      <c r="AJ60" s="13">
        <v>206</v>
      </c>
      <c r="AK60" s="13">
        <v>134</v>
      </c>
      <c r="AL60" s="13">
        <v>193</v>
      </c>
      <c r="AM60" s="13">
        <v>266</v>
      </c>
      <c r="AN60" s="13">
        <v>358</v>
      </c>
      <c r="AO60" s="13">
        <v>116</v>
      </c>
      <c r="AP60" s="13">
        <v>212</v>
      </c>
      <c r="AQ60" s="13">
        <v>352</v>
      </c>
      <c r="AR60" s="13">
        <v>496</v>
      </c>
      <c r="AS60" s="13">
        <v>156</v>
      </c>
      <c r="AT60" s="13">
        <v>321</v>
      </c>
      <c r="AU60" s="72">
        <v>406</v>
      </c>
      <c r="AV60" s="25">
        <v>475</v>
      </c>
    </row>
    <row r="61" spans="2:48" ht="15" customHeight="1" x14ac:dyDescent="0.2">
      <c r="B61" s="52" t="s">
        <v>169</v>
      </c>
      <c r="C61" s="13">
        <v>14</v>
      </c>
      <c r="D61" s="13">
        <v>19</v>
      </c>
      <c r="E61" s="13">
        <v>5</v>
      </c>
      <c r="F61" s="13">
        <v>12</v>
      </c>
      <c r="G61" s="13">
        <v>20</v>
      </c>
      <c r="H61" s="13">
        <v>27</v>
      </c>
      <c r="I61" s="13">
        <v>7</v>
      </c>
      <c r="J61" s="13">
        <v>16</v>
      </c>
      <c r="K61" s="13">
        <v>24</v>
      </c>
      <c r="L61" s="13">
        <v>31</v>
      </c>
      <c r="M61" s="13">
        <v>7</v>
      </c>
      <c r="N61" s="13">
        <v>14</v>
      </c>
      <c r="O61" s="13">
        <v>20</v>
      </c>
      <c r="P61" s="13">
        <v>25</v>
      </c>
      <c r="Q61" s="13">
        <v>5</v>
      </c>
      <c r="R61" s="13">
        <v>12</v>
      </c>
      <c r="S61" s="13">
        <v>19</v>
      </c>
      <c r="T61" s="13">
        <v>27</v>
      </c>
      <c r="U61" s="13">
        <v>7</v>
      </c>
      <c r="V61" s="13">
        <v>14</v>
      </c>
      <c r="W61" s="13">
        <v>23</v>
      </c>
      <c r="X61" s="13">
        <v>30</v>
      </c>
      <c r="Y61" s="13">
        <v>12</v>
      </c>
      <c r="Z61" s="13">
        <v>17</v>
      </c>
      <c r="AA61" s="13">
        <v>27</v>
      </c>
      <c r="AB61" s="13">
        <v>42</v>
      </c>
      <c r="AC61" s="13">
        <v>15</v>
      </c>
      <c r="AD61" s="13">
        <v>29</v>
      </c>
      <c r="AE61" s="13">
        <v>49</v>
      </c>
      <c r="AF61" s="13">
        <v>72</v>
      </c>
      <c r="AG61" s="13">
        <v>23</v>
      </c>
      <c r="AH61" s="13">
        <v>43</v>
      </c>
      <c r="AI61" s="13">
        <v>63</v>
      </c>
      <c r="AJ61" s="13">
        <v>83</v>
      </c>
      <c r="AK61" s="13">
        <v>26</v>
      </c>
      <c r="AL61" s="13">
        <v>53</v>
      </c>
      <c r="AM61" s="13">
        <v>86</v>
      </c>
      <c r="AN61" s="13">
        <v>120</v>
      </c>
      <c r="AO61" s="13">
        <v>21</v>
      </c>
      <c r="AP61" s="13">
        <v>45</v>
      </c>
      <c r="AQ61" s="13">
        <v>67</v>
      </c>
      <c r="AR61" s="13">
        <v>93</v>
      </c>
      <c r="AS61" s="13">
        <v>11</v>
      </c>
      <c r="AT61" s="13">
        <v>39</v>
      </c>
      <c r="AU61" s="72">
        <v>54</v>
      </c>
      <c r="AV61" s="72">
        <v>90</v>
      </c>
    </row>
    <row r="62" spans="2:48" ht="15" customHeight="1" x14ac:dyDescent="0.2">
      <c r="B62" s="52" t="s">
        <v>183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>
        <v>-9</v>
      </c>
      <c r="AM62" s="13">
        <v>-8</v>
      </c>
      <c r="AN62" s="13">
        <v>-9</v>
      </c>
      <c r="AO62" s="13">
        <v>-1</v>
      </c>
      <c r="AP62" s="13">
        <v>-2</v>
      </c>
      <c r="AQ62" s="13">
        <v>10</v>
      </c>
      <c r="AR62" s="13">
        <v>0</v>
      </c>
      <c r="AS62" s="13">
        <v>-5</v>
      </c>
      <c r="AT62" s="13">
        <v>6</v>
      </c>
      <c r="AU62" s="72">
        <v>-1</v>
      </c>
      <c r="AV62" s="72">
        <v>-11</v>
      </c>
    </row>
    <row r="63" spans="2:48" ht="15" customHeight="1" x14ac:dyDescent="0.2">
      <c r="B63" s="24" t="s">
        <v>75</v>
      </c>
      <c r="C63" s="3">
        <v>-8</v>
      </c>
      <c r="D63" s="3">
        <v>-8</v>
      </c>
      <c r="E63" s="3">
        <v>0</v>
      </c>
      <c r="F63" s="3">
        <v>8</v>
      </c>
      <c r="G63" s="3">
        <v>9</v>
      </c>
      <c r="H63" s="3">
        <v>10</v>
      </c>
      <c r="I63" s="3">
        <v>1</v>
      </c>
      <c r="J63" s="3">
        <v>2</v>
      </c>
      <c r="K63" s="3">
        <v>2</v>
      </c>
      <c r="L63" s="3">
        <v>2</v>
      </c>
      <c r="M63" s="3">
        <v>1</v>
      </c>
      <c r="N63" s="3">
        <v>0</v>
      </c>
      <c r="O63" s="3">
        <v>1</v>
      </c>
      <c r="P63" s="3">
        <v>2</v>
      </c>
      <c r="Q63" s="3">
        <v>0</v>
      </c>
      <c r="R63" s="3">
        <v>-1</v>
      </c>
      <c r="S63" s="3">
        <v>1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-1</v>
      </c>
      <c r="AA63" s="3">
        <v>-3</v>
      </c>
      <c r="AB63" s="3">
        <v>-7</v>
      </c>
      <c r="AC63" s="3">
        <v>-1</v>
      </c>
      <c r="AD63" s="3">
        <v>-3</v>
      </c>
      <c r="AE63" s="3">
        <v>-4</v>
      </c>
      <c r="AF63" s="3">
        <v>-6</v>
      </c>
      <c r="AG63" s="3">
        <v>-2</v>
      </c>
      <c r="AH63" s="3">
        <v>-6</v>
      </c>
      <c r="AI63" s="3">
        <v>-8</v>
      </c>
      <c r="AJ63" s="3">
        <v>-11</v>
      </c>
      <c r="AK63" s="3">
        <v>1</v>
      </c>
      <c r="AL63" s="3">
        <v>14</v>
      </c>
      <c r="AM63" s="3">
        <v>7</v>
      </c>
      <c r="AN63" s="3">
        <v>4</v>
      </c>
      <c r="AO63" s="3">
        <v>0.6</v>
      </c>
      <c r="AP63" s="3">
        <v>-2</v>
      </c>
      <c r="AQ63" s="3">
        <v>1.5529999999999999</v>
      </c>
      <c r="AR63" s="3">
        <v>-3</v>
      </c>
      <c r="AS63" s="3">
        <v>4.4989999999999997</v>
      </c>
      <c r="AT63" s="3">
        <v>4.1760000000000002</v>
      </c>
      <c r="AU63" s="3">
        <v>10.131</v>
      </c>
      <c r="AV63" s="73"/>
    </row>
    <row r="64" spans="2:48" ht="15" customHeight="1" x14ac:dyDescent="0.2">
      <c r="B64" s="24" t="s">
        <v>76</v>
      </c>
      <c r="C64" s="3">
        <v>-3</v>
      </c>
      <c r="D64" s="3">
        <v>-6</v>
      </c>
      <c r="E64" s="3">
        <v>0</v>
      </c>
      <c r="F64" s="3">
        <v>2</v>
      </c>
      <c r="G64" s="3">
        <v>2</v>
      </c>
      <c r="H64" s="3">
        <v>1</v>
      </c>
      <c r="I64" s="3">
        <v>1</v>
      </c>
      <c r="J64" s="3">
        <v>3</v>
      </c>
      <c r="K64" s="3">
        <v>3</v>
      </c>
      <c r="L64" s="3">
        <v>3</v>
      </c>
      <c r="M64" s="3">
        <v>-1</v>
      </c>
      <c r="N64" s="3">
        <f>-3</f>
        <v>-3</v>
      </c>
      <c r="O64" s="3">
        <v>-3</v>
      </c>
      <c r="P64" s="3">
        <v>-4</v>
      </c>
      <c r="Q64" s="3">
        <v>0</v>
      </c>
      <c r="R64" s="3">
        <v>5</v>
      </c>
      <c r="S64" s="3">
        <v>7</v>
      </c>
      <c r="T64" s="3">
        <v>2</v>
      </c>
      <c r="U64" s="3">
        <v>0</v>
      </c>
      <c r="V64" s="3">
        <v>-2</v>
      </c>
      <c r="W64" s="3">
        <v>-5</v>
      </c>
      <c r="X64" s="3">
        <v>-8</v>
      </c>
      <c r="Y64" s="3">
        <v>-1</v>
      </c>
      <c r="Z64" s="3">
        <v>-3</v>
      </c>
      <c r="AA64" s="3">
        <v>-5</v>
      </c>
      <c r="AB64" s="3">
        <v>-15</v>
      </c>
      <c r="AC64" s="3">
        <v>-4</v>
      </c>
      <c r="AD64" s="3">
        <v>-6</v>
      </c>
      <c r="AE64" s="3">
        <v>-6</v>
      </c>
      <c r="AF64" s="3">
        <v>-9</v>
      </c>
      <c r="AG64" s="3">
        <v>-2</v>
      </c>
      <c r="AH64" s="3">
        <v>-6</v>
      </c>
      <c r="AI64" s="3">
        <v>-7</v>
      </c>
      <c r="AJ64" s="3">
        <v>-12</v>
      </c>
      <c r="AK64" s="3">
        <v>-3</v>
      </c>
      <c r="AL64" s="3">
        <v>-7</v>
      </c>
      <c r="AM64" s="3">
        <v>-10</v>
      </c>
      <c r="AN64" s="3">
        <v>-16</v>
      </c>
      <c r="AO64" s="3">
        <v>-3.2</v>
      </c>
      <c r="AP64" s="3">
        <v>-12</v>
      </c>
      <c r="AQ64" s="3">
        <v>-18.791</v>
      </c>
      <c r="AR64" s="3">
        <v>-44</v>
      </c>
      <c r="AS64" s="3">
        <v>-26.58</v>
      </c>
      <c r="AT64" s="3">
        <v>-49.363999999999997</v>
      </c>
      <c r="AU64" s="3">
        <v>-64.817999999999998</v>
      </c>
      <c r="AV64" s="72">
        <v>-80.878</v>
      </c>
    </row>
    <row r="65" spans="1:48" ht="15" customHeight="1" x14ac:dyDescent="0.2">
      <c r="B65" s="43" t="s">
        <v>78</v>
      </c>
      <c r="C65" s="44">
        <v>311</v>
      </c>
      <c r="D65" s="44">
        <v>247</v>
      </c>
      <c r="E65" s="44">
        <v>93</v>
      </c>
      <c r="F65" s="44">
        <v>90</v>
      </c>
      <c r="G65" s="44">
        <v>152</v>
      </c>
      <c r="H65" s="44">
        <v>202</v>
      </c>
      <c r="I65" s="44">
        <v>108</v>
      </c>
      <c r="J65" s="44">
        <v>176</v>
      </c>
      <c r="K65" s="44">
        <v>223</v>
      </c>
      <c r="L65" s="44">
        <v>299</v>
      </c>
      <c r="M65" s="44">
        <v>94</v>
      </c>
      <c r="N65" s="44">
        <v>189</v>
      </c>
      <c r="O65" s="44">
        <v>282</v>
      </c>
      <c r="P65" s="44">
        <v>362</v>
      </c>
      <c r="Q65" s="44">
        <v>97</v>
      </c>
      <c r="R65" s="44">
        <v>194</v>
      </c>
      <c r="S65" s="44">
        <v>262</v>
      </c>
      <c r="T65" s="44">
        <v>281</v>
      </c>
      <c r="U65" s="44">
        <v>121</v>
      </c>
      <c r="V65" s="44">
        <v>20</v>
      </c>
      <c r="W65" s="44">
        <v>59</v>
      </c>
      <c r="X65" s="44">
        <v>10</v>
      </c>
      <c r="Y65" s="44">
        <v>169</v>
      </c>
      <c r="Z65" s="44">
        <v>251</v>
      </c>
      <c r="AA65" s="44">
        <v>335</v>
      </c>
      <c r="AB65" s="44">
        <v>188</v>
      </c>
      <c r="AC65" s="44">
        <v>74</v>
      </c>
      <c r="AD65" s="44">
        <v>157</v>
      </c>
      <c r="AE65" s="44">
        <v>247</v>
      </c>
      <c r="AF65" s="44">
        <v>294</v>
      </c>
      <c r="AG65" s="44">
        <v>187</v>
      </c>
      <c r="AH65" s="44">
        <v>299</v>
      </c>
      <c r="AI65" s="44">
        <v>349</v>
      </c>
      <c r="AJ65" s="44">
        <v>529</v>
      </c>
      <c r="AK65" s="44">
        <v>223</v>
      </c>
      <c r="AL65" s="44">
        <v>485</v>
      </c>
      <c r="AM65" s="44">
        <v>683</v>
      </c>
      <c r="AN65" s="44">
        <v>1005</v>
      </c>
      <c r="AO65" s="44">
        <v>295.5</v>
      </c>
      <c r="AP65" s="44">
        <v>593</v>
      </c>
      <c r="AQ65" s="44">
        <v>982</v>
      </c>
      <c r="AR65" s="44">
        <v>1501.1880000000001</v>
      </c>
      <c r="AS65" s="44">
        <v>942.63599999999997</v>
      </c>
      <c r="AT65" s="44">
        <v>1397.3579999999999</v>
      </c>
      <c r="AU65" s="44">
        <v>1799.191</v>
      </c>
      <c r="AV65" s="44">
        <v>1921.048</v>
      </c>
    </row>
    <row r="66" spans="1:48" ht="15" customHeight="1" x14ac:dyDescent="0.2">
      <c r="B66" s="42" t="s">
        <v>58</v>
      </c>
      <c r="C66" s="3">
        <v>17</v>
      </c>
      <c r="D66" s="3">
        <v>-3</v>
      </c>
      <c r="E66" s="3">
        <v>7</v>
      </c>
      <c r="F66" s="3">
        <v>7</v>
      </c>
      <c r="G66" s="3">
        <v>30</v>
      </c>
      <c r="H66" s="3">
        <v>25</v>
      </c>
      <c r="I66" s="3">
        <v>10</v>
      </c>
      <c r="J66" s="3">
        <v>16</v>
      </c>
      <c r="K66" s="3">
        <v>32</v>
      </c>
      <c r="L66" s="3">
        <v>39</v>
      </c>
      <c r="M66" s="3">
        <v>2</v>
      </c>
      <c r="N66" s="3">
        <v>24</v>
      </c>
      <c r="O66" s="3">
        <v>46</v>
      </c>
      <c r="P66" s="3">
        <v>72</v>
      </c>
      <c r="Q66" s="3">
        <v>37</v>
      </c>
      <c r="R66" s="3">
        <v>46</v>
      </c>
      <c r="S66" s="3">
        <v>74</v>
      </c>
      <c r="T66" s="3">
        <v>24</v>
      </c>
      <c r="U66" s="3">
        <v>32</v>
      </c>
      <c r="V66" s="3">
        <v>-104</v>
      </c>
      <c r="W66" s="3">
        <v>-115</v>
      </c>
      <c r="X66" s="3">
        <v>-217</v>
      </c>
      <c r="Y66" s="3">
        <v>24</v>
      </c>
      <c r="Z66" s="3">
        <v>42</v>
      </c>
      <c r="AA66" s="3">
        <v>64</v>
      </c>
      <c r="AB66" s="3">
        <v>-197</v>
      </c>
      <c r="AC66" s="3">
        <v>14</v>
      </c>
      <c r="AD66" s="3">
        <v>17</v>
      </c>
      <c r="AE66" s="3">
        <v>32</v>
      </c>
      <c r="AF66" s="3">
        <v>42</v>
      </c>
      <c r="AG66" s="3">
        <v>34</v>
      </c>
      <c r="AH66" s="3">
        <v>50</v>
      </c>
      <c r="AI66" s="3">
        <v>13.409000000000001</v>
      </c>
      <c r="AJ66" s="3">
        <v>81</v>
      </c>
      <c r="AK66" s="3">
        <v>29</v>
      </c>
      <c r="AL66" s="3">
        <v>160</v>
      </c>
      <c r="AM66" s="3">
        <v>222.76900000000001</v>
      </c>
      <c r="AN66" s="3">
        <v>390.58600000000001</v>
      </c>
      <c r="AO66" s="3">
        <v>130.1</v>
      </c>
      <c r="AP66" s="3">
        <v>279.01100000000002</v>
      </c>
      <c r="AQ66" s="3">
        <v>472.113</v>
      </c>
      <c r="AR66" s="3">
        <v>715.85299999999995</v>
      </c>
      <c r="AS66" s="3">
        <v>624.78300000000002</v>
      </c>
      <c r="AT66" s="3">
        <v>859.52499999999998</v>
      </c>
      <c r="AU66" s="3">
        <v>1062.0530000000001</v>
      </c>
      <c r="AV66" s="3">
        <v>984.375</v>
      </c>
    </row>
    <row r="67" spans="1:48" ht="15" customHeight="1" x14ac:dyDescent="0.2">
      <c r="B67" s="24" t="s">
        <v>74</v>
      </c>
      <c r="C67" s="3">
        <v>172</v>
      </c>
      <c r="D67" s="3">
        <v>73</v>
      </c>
      <c r="E67" s="3">
        <v>9</v>
      </c>
      <c r="F67" s="3">
        <v>-10</v>
      </c>
      <c r="G67" s="3">
        <v>4</v>
      </c>
      <c r="H67" s="3">
        <v>13</v>
      </c>
      <c r="I67" s="3">
        <v>54</v>
      </c>
      <c r="J67" s="3">
        <v>75</v>
      </c>
      <c r="K67" s="3">
        <v>93</v>
      </c>
      <c r="L67" s="3">
        <v>116</v>
      </c>
      <c r="M67" s="3">
        <v>70</v>
      </c>
      <c r="N67" s="3">
        <v>109</v>
      </c>
      <c r="O67" s="3">
        <v>129</v>
      </c>
      <c r="P67" s="3">
        <v>137</v>
      </c>
      <c r="Q67" s="3">
        <v>44</v>
      </c>
      <c r="R67" s="3">
        <v>81</v>
      </c>
      <c r="S67" s="3">
        <v>92</v>
      </c>
      <c r="T67" s="3">
        <v>116</v>
      </c>
      <c r="U67" s="3">
        <v>52</v>
      </c>
      <c r="V67" s="3">
        <v>33</v>
      </c>
      <c r="W67" s="3">
        <v>33</v>
      </c>
      <c r="X67" s="3">
        <v>63</v>
      </c>
      <c r="Y67" s="3">
        <v>101</v>
      </c>
      <c r="Z67" s="3">
        <v>115</v>
      </c>
      <c r="AA67" s="3">
        <v>150</v>
      </c>
      <c r="AB67" s="3">
        <v>218</v>
      </c>
      <c r="AC67" s="3">
        <v>49</v>
      </c>
      <c r="AD67" s="3">
        <v>64</v>
      </c>
      <c r="AE67" s="3">
        <v>44</v>
      </c>
      <c r="AF67" s="3">
        <v>75</v>
      </c>
      <c r="AG67" s="3">
        <v>112</v>
      </c>
      <c r="AH67" s="3">
        <v>164</v>
      </c>
      <c r="AI67" s="3">
        <v>173.17500000000001</v>
      </c>
      <c r="AJ67" s="3">
        <v>140</v>
      </c>
      <c r="AK67" s="3">
        <v>115</v>
      </c>
      <c r="AL67" s="3">
        <v>208</v>
      </c>
      <c r="AM67" s="3">
        <v>278.238</v>
      </c>
      <c r="AN67" s="3">
        <v>346.65199999999999</v>
      </c>
      <c r="AO67" s="3">
        <v>88</v>
      </c>
      <c r="AP67" s="3">
        <v>145.315</v>
      </c>
      <c r="AQ67" s="3">
        <v>205.66</v>
      </c>
      <c r="AR67" s="3">
        <v>464.012</v>
      </c>
      <c r="AS67" s="3">
        <v>116.627</v>
      </c>
      <c r="AT67" s="3">
        <v>271.70699999999999</v>
      </c>
      <c r="AU67" s="3">
        <v>334.32799999999997</v>
      </c>
      <c r="AV67" s="3">
        <v>385.50099999999998</v>
      </c>
    </row>
    <row r="68" spans="1:48" ht="15" customHeight="1" x14ac:dyDescent="0.2">
      <c r="B68" s="52" t="s">
        <v>184</v>
      </c>
      <c r="C68" s="13">
        <v>164</v>
      </c>
      <c r="D68" s="13">
        <v>62</v>
      </c>
      <c r="E68" s="13">
        <v>6</v>
      </c>
      <c r="F68" s="13">
        <v>-18</v>
      </c>
      <c r="G68" s="13">
        <v>-9</v>
      </c>
      <c r="H68" s="13">
        <v>-5</v>
      </c>
      <c r="I68" s="13">
        <v>49</v>
      </c>
      <c r="J68" s="13">
        <v>64</v>
      </c>
      <c r="K68" s="13">
        <v>76</v>
      </c>
      <c r="L68" s="13">
        <v>95</v>
      </c>
      <c r="M68" s="13">
        <v>65</v>
      </c>
      <c r="N68" s="13">
        <v>100</v>
      </c>
      <c r="O68" s="13">
        <v>115</v>
      </c>
      <c r="P68" s="13">
        <v>120</v>
      </c>
      <c r="Q68" s="13">
        <v>41</v>
      </c>
      <c r="R68" s="13">
        <v>73</v>
      </c>
      <c r="S68" s="13">
        <v>80</v>
      </c>
      <c r="T68" s="13">
        <v>98</v>
      </c>
      <c r="U68" s="13">
        <v>46</v>
      </c>
      <c r="V68" s="13">
        <v>23</v>
      </c>
      <c r="W68" s="13">
        <v>16</v>
      </c>
      <c r="X68" s="13">
        <v>40</v>
      </c>
      <c r="Y68" s="13">
        <v>92</v>
      </c>
      <c r="Z68" s="13">
        <v>102</v>
      </c>
      <c r="AA68" s="13">
        <v>130</v>
      </c>
      <c r="AB68" s="13">
        <v>186</v>
      </c>
      <c r="AC68" s="13">
        <v>37</v>
      </c>
      <c r="AD68" s="13">
        <v>42</v>
      </c>
      <c r="AE68" s="13">
        <v>7</v>
      </c>
      <c r="AF68" s="13">
        <v>21</v>
      </c>
      <c r="AG68" s="13">
        <v>94</v>
      </c>
      <c r="AH68" s="13">
        <v>130</v>
      </c>
      <c r="AI68" s="13">
        <v>125</v>
      </c>
      <c r="AJ68" s="13">
        <v>73</v>
      </c>
      <c r="AK68" s="13">
        <v>95</v>
      </c>
      <c r="AL68" s="13">
        <v>168</v>
      </c>
      <c r="AM68" s="13">
        <v>217</v>
      </c>
      <c r="AN68" s="13">
        <v>256</v>
      </c>
      <c r="AO68" s="13">
        <v>79</v>
      </c>
      <c r="AP68" s="13">
        <v>108</v>
      </c>
      <c r="AQ68" s="13">
        <v>121</v>
      </c>
      <c r="AR68" s="13">
        <v>384</v>
      </c>
      <c r="AS68" s="13">
        <v>111</v>
      </c>
      <c r="AT68" s="13">
        <v>236</v>
      </c>
      <c r="AU68" s="13">
        <v>295</v>
      </c>
      <c r="AV68" s="13">
        <v>331</v>
      </c>
    </row>
    <row r="69" spans="1:48" ht="15" customHeight="1" x14ac:dyDescent="0.2">
      <c r="B69" s="52" t="s">
        <v>169</v>
      </c>
      <c r="C69" s="13">
        <v>8</v>
      </c>
      <c r="D69" s="13">
        <v>11</v>
      </c>
      <c r="E69" s="13">
        <v>3</v>
      </c>
      <c r="F69" s="13">
        <v>8</v>
      </c>
      <c r="G69" s="13">
        <v>13</v>
      </c>
      <c r="H69" s="13">
        <v>18</v>
      </c>
      <c r="I69" s="13">
        <v>5</v>
      </c>
      <c r="J69" s="13">
        <v>11</v>
      </c>
      <c r="K69" s="13">
        <v>17</v>
      </c>
      <c r="L69" s="13">
        <v>21</v>
      </c>
      <c r="M69" s="13">
        <v>5</v>
      </c>
      <c r="N69" s="13">
        <v>9</v>
      </c>
      <c r="O69" s="13">
        <v>14</v>
      </c>
      <c r="P69" s="13">
        <v>17</v>
      </c>
      <c r="Q69" s="13">
        <v>3</v>
      </c>
      <c r="R69" s="13">
        <v>8</v>
      </c>
      <c r="S69" s="13">
        <v>12</v>
      </c>
      <c r="T69" s="13">
        <v>18</v>
      </c>
      <c r="U69" s="13">
        <v>6</v>
      </c>
      <c r="V69" s="13">
        <v>10</v>
      </c>
      <c r="W69" s="13">
        <v>17</v>
      </c>
      <c r="X69" s="13">
        <v>23</v>
      </c>
      <c r="Y69" s="13">
        <v>9</v>
      </c>
      <c r="Z69" s="13">
        <v>13</v>
      </c>
      <c r="AA69" s="13">
        <v>20</v>
      </c>
      <c r="AB69" s="13">
        <v>32</v>
      </c>
      <c r="AC69" s="13">
        <v>12</v>
      </c>
      <c r="AD69" s="13">
        <v>22</v>
      </c>
      <c r="AE69" s="13">
        <v>37</v>
      </c>
      <c r="AF69" s="13">
        <v>54</v>
      </c>
      <c r="AG69" s="13">
        <v>18</v>
      </c>
      <c r="AH69" s="13">
        <v>34</v>
      </c>
      <c r="AI69" s="13">
        <v>48</v>
      </c>
      <c r="AJ69" s="13">
        <v>67</v>
      </c>
      <c r="AK69" s="13">
        <v>20</v>
      </c>
      <c r="AL69" s="13">
        <v>40</v>
      </c>
      <c r="AM69" s="13">
        <v>67</v>
      </c>
      <c r="AN69" s="13">
        <v>93</v>
      </c>
      <c r="AO69" s="13">
        <v>17</v>
      </c>
      <c r="AP69" s="13">
        <v>37</v>
      </c>
      <c r="AQ69" s="13">
        <v>64</v>
      </c>
      <c r="AR69" s="13">
        <v>82</v>
      </c>
      <c r="AS69" s="13">
        <v>10</v>
      </c>
      <c r="AT69" s="13">
        <v>31</v>
      </c>
      <c r="AU69" s="13">
        <v>41</v>
      </c>
      <c r="AV69" s="13">
        <v>68</v>
      </c>
    </row>
    <row r="70" spans="1:48" ht="15" customHeight="1" x14ac:dyDescent="0.2">
      <c r="B70" s="52" t="s">
        <v>183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>
        <v>-6</v>
      </c>
      <c r="AM70" s="13">
        <v>-7</v>
      </c>
      <c r="AN70" s="13">
        <v>-6</v>
      </c>
      <c r="AO70" s="13">
        <v>-8</v>
      </c>
      <c r="AP70" s="13">
        <v>-6</v>
      </c>
      <c r="AQ70" s="13">
        <v>21</v>
      </c>
      <c r="AR70" s="13">
        <v>-2</v>
      </c>
      <c r="AS70" s="13">
        <v>-4</v>
      </c>
      <c r="AT70" s="13">
        <v>7</v>
      </c>
      <c r="AU70" s="13">
        <v>-1</v>
      </c>
      <c r="AV70" s="13">
        <v>-14</v>
      </c>
    </row>
    <row r="71" spans="1:48" ht="15" customHeight="1" x14ac:dyDescent="0.2">
      <c r="B71" s="24" t="s">
        <v>75</v>
      </c>
      <c r="C71" s="3">
        <v>-10</v>
      </c>
      <c r="D71" s="3">
        <v>-14</v>
      </c>
      <c r="E71" s="3">
        <v>-2</v>
      </c>
      <c r="F71" s="3">
        <v>5</v>
      </c>
      <c r="G71" s="3">
        <v>6</v>
      </c>
      <c r="H71" s="3">
        <v>7</v>
      </c>
      <c r="I71" s="3">
        <v>0</v>
      </c>
      <c r="J71" s="3">
        <v>1</v>
      </c>
      <c r="K71" s="3">
        <v>2</v>
      </c>
      <c r="L71" s="3">
        <v>3</v>
      </c>
      <c r="M71" s="3">
        <v>1</v>
      </c>
      <c r="N71" s="3">
        <v>2</v>
      </c>
      <c r="O71" s="3">
        <v>5</v>
      </c>
      <c r="P71" s="3">
        <v>7</v>
      </c>
      <c r="Q71" s="3">
        <v>0</v>
      </c>
      <c r="R71" s="3">
        <v>0</v>
      </c>
      <c r="S71" s="3">
        <v>2</v>
      </c>
      <c r="T71" s="3">
        <v>2</v>
      </c>
      <c r="U71" s="3">
        <v>1</v>
      </c>
      <c r="V71" s="3">
        <v>-1</v>
      </c>
      <c r="W71" s="3">
        <v>-1</v>
      </c>
      <c r="X71" s="3">
        <v>-1</v>
      </c>
      <c r="Y71" s="3">
        <v>0</v>
      </c>
      <c r="Z71" s="3">
        <v>0</v>
      </c>
      <c r="AA71" s="3">
        <v>-2</v>
      </c>
      <c r="AB71" s="3">
        <v>-4</v>
      </c>
      <c r="AC71" s="3">
        <v>0</v>
      </c>
      <c r="AD71" s="3">
        <v>-1</v>
      </c>
      <c r="AE71" s="3">
        <v>-1</v>
      </c>
      <c r="AF71" s="3">
        <v>-2</v>
      </c>
      <c r="AG71" s="3">
        <v>-2</v>
      </c>
      <c r="AH71" s="3">
        <v>-6</v>
      </c>
      <c r="AI71" s="3">
        <v>-7.5789999999999997</v>
      </c>
      <c r="AJ71" s="3">
        <v>11</v>
      </c>
      <c r="AK71" s="3">
        <v>1</v>
      </c>
      <c r="AL71" s="3">
        <v>11</v>
      </c>
      <c r="AM71" s="3">
        <v>-0.28299999999999997</v>
      </c>
      <c r="AN71" s="3">
        <v>-13.868</v>
      </c>
      <c r="AO71" s="3">
        <v>-9.3000000000000007</v>
      </c>
      <c r="AP71" s="3">
        <v>-19.045000000000002</v>
      </c>
      <c r="AQ71" s="3">
        <v>-25.451000000000001</v>
      </c>
      <c r="AR71" s="3">
        <v>-24.748000000000001</v>
      </c>
      <c r="AS71" s="3">
        <v>6.984</v>
      </c>
      <c r="AT71" s="3">
        <v>-0.748</v>
      </c>
      <c r="AU71" s="3">
        <v>0.48299999999999998</v>
      </c>
      <c r="AV71" s="73"/>
    </row>
    <row r="72" spans="1:48" ht="15" customHeight="1" x14ac:dyDescent="0.2">
      <c r="B72" s="24" t="s">
        <v>76</v>
      </c>
      <c r="C72" s="3">
        <v>39</v>
      </c>
      <c r="D72" s="3">
        <v>36</v>
      </c>
      <c r="E72" s="3">
        <v>-8</v>
      </c>
      <c r="F72" s="3">
        <v>11</v>
      </c>
      <c r="G72" s="3">
        <v>16</v>
      </c>
      <c r="H72" s="3">
        <v>24</v>
      </c>
      <c r="I72" s="3">
        <v>2</v>
      </c>
      <c r="J72" s="3">
        <v>14</v>
      </c>
      <c r="K72" s="3">
        <v>20</v>
      </c>
      <c r="L72" s="3">
        <v>19</v>
      </c>
      <c r="M72" s="3">
        <v>4</v>
      </c>
      <c r="N72" s="3">
        <v>9</v>
      </c>
      <c r="O72" s="3">
        <v>17</v>
      </c>
      <c r="P72" s="3">
        <v>28</v>
      </c>
      <c r="Q72" s="3">
        <v>11</v>
      </c>
      <c r="R72" s="3">
        <v>22</v>
      </c>
      <c r="S72" s="3">
        <v>29</v>
      </c>
      <c r="T72" s="3">
        <v>159</v>
      </c>
      <c r="U72" s="3">
        <v>62</v>
      </c>
      <c r="V72" s="3">
        <v>77</v>
      </c>
      <c r="W72" s="3">
        <v>89</v>
      </c>
      <c r="X72" s="3">
        <v>92</v>
      </c>
      <c r="Y72" s="3">
        <v>17</v>
      </c>
      <c r="Z72" s="3">
        <v>27</v>
      </c>
      <c r="AA72" s="3">
        <v>41</v>
      </c>
      <c r="AB72" s="3">
        <v>41</v>
      </c>
      <c r="AC72" s="3">
        <v>23</v>
      </c>
      <c r="AD72" s="3">
        <v>36</v>
      </c>
      <c r="AE72" s="3">
        <v>83</v>
      </c>
      <c r="AF72" s="3">
        <v>78</v>
      </c>
      <c r="AG72" s="3">
        <v>6</v>
      </c>
      <c r="AH72" s="3">
        <v>16</v>
      </c>
      <c r="AI72" s="3">
        <v>35.283000000000001</v>
      </c>
      <c r="AJ72" s="3">
        <v>99</v>
      </c>
      <c r="AK72" s="3">
        <v>16</v>
      </c>
      <c r="AL72" s="3">
        <v>6</v>
      </c>
      <c r="AM72" s="3">
        <v>15.38</v>
      </c>
      <c r="AN72" s="3">
        <v>47.357999999999997</v>
      </c>
      <c r="AO72" s="3">
        <v>32.200000000000003</v>
      </c>
      <c r="AP72" s="3">
        <v>115.111</v>
      </c>
      <c r="AQ72" s="3">
        <v>329.36700000000002</v>
      </c>
      <c r="AR72" s="3">
        <v>221.66200000000001</v>
      </c>
      <c r="AS72" s="3">
        <v>32.511000000000003</v>
      </c>
      <c r="AT72" s="3">
        <v>48.877000000000002</v>
      </c>
      <c r="AU72" s="3">
        <v>39.484999999999999</v>
      </c>
      <c r="AV72" s="3">
        <v>44.982999999999997</v>
      </c>
    </row>
    <row r="73" spans="1:48" ht="15" customHeight="1" x14ac:dyDescent="0.2">
      <c r="A73" s="55" t="s">
        <v>164</v>
      </c>
      <c r="B73" s="43" t="s">
        <v>79</v>
      </c>
      <c r="C73" s="44">
        <v>218</v>
      </c>
      <c r="D73" s="44">
        <v>91</v>
      </c>
      <c r="E73" s="44">
        <v>6</v>
      </c>
      <c r="F73" s="44">
        <v>12</v>
      </c>
      <c r="G73" s="44">
        <v>57</v>
      </c>
      <c r="H73" s="44">
        <v>69</v>
      </c>
      <c r="I73" s="44">
        <v>67</v>
      </c>
      <c r="J73" s="44">
        <v>106</v>
      </c>
      <c r="K73" s="44">
        <v>147</v>
      </c>
      <c r="L73" s="44">
        <v>178</v>
      </c>
      <c r="M73" s="44">
        <v>76</v>
      </c>
      <c r="N73" s="44">
        <v>143</v>
      </c>
      <c r="O73" s="44">
        <v>197</v>
      </c>
      <c r="P73" s="44">
        <v>243</v>
      </c>
      <c r="Q73" s="44">
        <v>92</v>
      </c>
      <c r="R73" s="44">
        <v>150</v>
      </c>
      <c r="S73" s="44">
        <v>198</v>
      </c>
      <c r="T73" s="44">
        <v>300</v>
      </c>
      <c r="U73" s="44">
        <v>147</v>
      </c>
      <c r="V73" s="44">
        <v>6</v>
      </c>
      <c r="W73" s="44">
        <v>6</v>
      </c>
      <c r="X73" s="44">
        <v>-64</v>
      </c>
      <c r="Y73" s="44">
        <v>142</v>
      </c>
      <c r="Z73" s="44">
        <v>184</v>
      </c>
      <c r="AA73" s="44">
        <v>253</v>
      </c>
      <c r="AB73" s="44">
        <v>58</v>
      </c>
      <c r="AC73" s="44">
        <v>85</v>
      </c>
      <c r="AD73" s="44">
        <v>115</v>
      </c>
      <c r="AE73" s="44">
        <v>158</v>
      </c>
      <c r="AF73" s="44">
        <v>193</v>
      </c>
      <c r="AG73" s="44">
        <v>150</v>
      </c>
      <c r="AH73" s="44">
        <v>224</v>
      </c>
      <c r="AI73" s="44">
        <v>214.28800000000001</v>
      </c>
      <c r="AJ73" s="44">
        <v>330</v>
      </c>
      <c r="AK73" s="44">
        <v>161</v>
      </c>
      <c r="AL73" s="44">
        <v>385</v>
      </c>
      <c r="AM73" s="44">
        <v>516.10400000000004</v>
      </c>
      <c r="AN73" s="44">
        <v>770.72799999999995</v>
      </c>
      <c r="AO73" s="44">
        <v>241.1</v>
      </c>
      <c r="AP73" s="143">
        <v>520.39200000000005</v>
      </c>
      <c r="AQ73" s="54">
        <v>967.94400000000167</v>
      </c>
      <c r="AR73" s="54">
        <v>1401.527</v>
      </c>
      <c r="AS73" s="44">
        <v>780.90499999999997</v>
      </c>
      <c r="AT73" s="44">
        <v>1179.3610000000001</v>
      </c>
      <c r="AU73" s="44">
        <v>1436.3489999999999</v>
      </c>
      <c r="AV73" s="44">
        <v>1414.8589999999999</v>
      </c>
    </row>
    <row r="76" spans="1:48" ht="20.100000000000001" customHeight="1" x14ac:dyDescent="0.2">
      <c r="B76" s="32" t="s">
        <v>152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</row>
    <row r="77" spans="1:48" x14ac:dyDescent="0.2">
      <c r="B77" s="34" t="s">
        <v>65</v>
      </c>
      <c r="C77" s="35" t="s">
        <v>1</v>
      </c>
      <c r="D77" s="35" t="s">
        <v>2</v>
      </c>
      <c r="E77" s="35" t="s">
        <v>7</v>
      </c>
      <c r="F77" s="35" t="s">
        <v>8</v>
      </c>
      <c r="G77" s="35" t="s">
        <v>9</v>
      </c>
      <c r="H77" s="35" t="s">
        <v>10</v>
      </c>
      <c r="I77" s="35" t="s">
        <v>11</v>
      </c>
      <c r="J77" s="35" t="s">
        <v>12</v>
      </c>
      <c r="K77" s="35" t="s">
        <v>13</v>
      </c>
      <c r="L77" s="35" t="s">
        <v>14</v>
      </c>
      <c r="M77" s="35" t="s">
        <v>15</v>
      </c>
      <c r="N77" s="35" t="s">
        <v>16</v>
      </c>
      <c r="O77" s="35" t="s">
        <v>17</v>
      </c>
      <c r="P77" s="35" t="s">
        <v>18</v>
      </c>
      <c r="Q77" s="35" t="s">
        <v>19</v>
      </c>
      <c r="R77" s="35" t="s">
        <v>20</v>
      </c>
      <c r="S77" s="35" t="s">
        <v>21</v>
      </c>
      <c r="T77" s="35" t="s">
        <v>22</v>
      </c>
      <c r="U77" s="35" t="s">
        <v>23</v>
      </c>
      <c r="V77" s="35" t="s">
        <v>24</v>
      </c>
      <c r="W77" s="35" t="s">
        <v>25</v>
      </c>
      <c r="X77" s="35" t="s">
        <v>26</v>
      </c>
      <c r="Y77" s="35" t="s">
        <v>27</v>
      </c>
      <c r="Z77" s="35" t="s">
        <v>28</v>
      </c>
      <c r="AA77" s="35" t="s">
        <v>29</v>
      </c>
      <c r="AB77" s="35" t="s">
        <v>30</v>
      </c>
      <c r="AC77" s="35" t="s">
        <v>31</v>
      </c>
      <c r="AD77" s="35" t="s">
        <v>32</v>
      </c>
      <c r="AE77" s="35" t="s">
        <v>33</v>
      </c>
      <c r="AF77" s="35" t="s">
        <v>34</v>
      </c>
      <c r="AG77" s="35" t="s">
        <v>35</v>
      </c>
      <c r="AH77" s="35" t="s">
        <v>36</v>
      </c>
      <c r="AI77" s="35" t="s">
        <v>37</v>
      </c>
      <c r="AJ77" s="35" t="s">
        <v>38</v>
      </c>
      <c r="AK77" s="35" t="s">
        <v>39</v>
      </c>
      <c r="AL77" s="35" t="s">
        <v>40</v>
      </c>
      <c r="AM77" s="35" t="s">
        <v>41</v>
      </c>
      <c r="AN77" s="35" t="s">
        <v>170</v>
      </c>
      <c r="AO77" s="35" t="s">
        <v>172</v>
      </c>
      <c r="AP77" s="35" t="s">
        <v>173</v>
      </c>
      <c r="AQ77" s="35" t="s">
        <v>175</v>
      </c>
      <c r="AR77" s="35" t="s">
        <v>182</v>
      </c>
      <c r="AS77" s="35" t="s">
        <v>186</v>
      </c>
      <c r="AT77" s="35" t="s">
        <v>188</v>
      </c>
      <c r="AU77" s="35" t="s">
        <v>191</v>
      </c>
      <c r="AV77" s="35" t="s">
        <v>193</v>
      </c>
    </row>
    <row r="78" spans="1:48" ht="15" customHeight="1" x14ac:dyDescent="0.2">
      <c r="B78" s="42" t="s">
        <v>58</v>
      </c>
      <c r="C78" s="10">
        <v>316</v>
      </c>
      <c r="D78" s="37">
        <f>+D50-C50</f>
        <v>418</v>
      </c>
      <c r="E78" s="132">
        <f>+E50</f>
        <v>322</v>
      </c>
      <c r="F78" s="37">
        <f t="shared" ref="F78:H81" si="127">+F50-E50</f>
        <v>325</v>
      </c>
      <c r="G78" s="37">
        <f t="shared" si="127"/>
        <v>359</v>
      </c>
      <c r="H78" s="37">
        <f t="shared" si="127"/>
        <v>335</v>
      </c>
      <c r="I78" s="132">
        <f>+I50</f>
        <v>234</v>
      </c>
      <c r="J78" s="37">
        <f t="shared" ref="J78:L81" si="128">+J50-I50</f>
        <v>281</v>
      </c>
      <c r="K78" s="37">
        <f t="shared" si="128"/>
        <v>263</v>
      </c>
      <c r="L78" s="37">
        <f t="shared" si="128"/>
        <v>333</v>
      </c>
      <c r="M78" s="132">
        <f>+M50</f>
        <v>289</v>
      </c>
      <c r="N78" s="37">
        <f t="shared" ref="N78:P81" si="129">+N50-M50</f>
        <v>413</v>
      </c>
      <c r="O78" s="37">
        <f t="shared" si="129"/>
        <v>456</v>
      </c>
      <c r="P78" s="37">
        <f t="shared" si="129"/>
        <v>706</v>
      </c>
      <c r="Q78" s="132">
        <f>+Q50</f>
        <v>526</v>
      </c>
      <c r="R78" s="37">
        <f t="shared" ref="R78:T81" si="130">+R50-Q50</f>
        <v>596</v>
      </c>
      <c r="S78" s="37">
        <f t="shared" si="130"/>
        <v>618</v>
      </c>
      <c r="T78" s="37">
        <f t="shared" si="130"/>
        <v>655</v>
      </c>
      <c r="U78" s="132">
        <f>+U50</f>
        <v>554</v>
      </c>
      <c r="V78" s="37">
        <f t="shared" ref="V78:X81" si="131">+V50-U50</f>
        <v>594</v>
      </c>
      <c r="W78" s="37">
        <f t="shared" si="131"/>
        <v>599</v>
      </c>
      <c r="X78" s="37">
        <f t="shared" si="131"/>
        <v>580</v>
      </c>
      <c r="Y78" s="132">
        <f>+Y50</f>
        <v>609</v>
      </c>
      <c r="Z78" s="37">
        <f t="shared" ref="Z78:AB81" si="132">+Z50-Y50</f>
        <v>663</v>
      </c>
      <c r="AA78" s="37">
        <f t="shared" si="132"/>
        <v>709</v>
      </c>
      <c r="AB78" s="37">
        <f t="shared" si="132"/>
        <v>787</v>
      </c>
      <c r="AC78" s="132">
        <f>+AC50</f>
        <v>485</v>
      </c>
      <c r="AD78" s="37">
        <f t="shared" ref="AD78:AF81" si="133">+AD50-AC50</f>
        <v>532</v>
      </c>
      <c r="AE78" s="37">
        <f t="shared" si="133"/>
        <v>484</v>
      </c>
      <c r="AF78" s="37">
        <f t="shared" si="133"/>
        <v>652</v>
      </c>
      <c r="AG78" s="132">
        <f>+AG50</f>
        <v>628</v>
      </c>
      <c r="AH78" s="37">
        <f t="shared" ref="AH78:AJ81" si="134">+AH50-AG50</f>
        <v>690</v>
      </c>
      <c r="AI78" s="37">
        <f t="shared" si="134"/>
        <v>656.86400000000003</v>
      </c>
      <c r="AJ78" s="37">
        <f t="shared" si="134"/>
        <v>849.13599999999997</v>
      </c>
      <c r="AK78" s="132">
        <f>+AK50</f>
        <v>911</v>
      </c>
      <c r="AL78" s="37">
        <f t="shared" ref="AL78:AN81" si="135">+AL50-AK50</f>
        <v>1039</v>
      </c>
      <c r="AM78" s="37">
        <f t="shared" si="135"/>
        <v>1127.6869999999999</v>
      </c>
      <c r="AN78" s="37">
        <f t="shared" si="135"/>
        <v>1783.8530000000001</v>
      </c>
      <c r="AO78" s="132">
        <f>+AO50</f>
        <v>1488.3</v>
      </c>
      <c r="AP78" s="37">
        <f t="shared" ref="AP78:AV93" si="136">+AP50-AO50</f>
        <v>2109.4489999999996</v>
      </c>
      <c r="AQ78" s="37">
        <f t="shared" si="136"/>
        <v>2493.2700000000004</v>
      </c>
      <c r="AR78" s="37">
        <f t="shared" si="136"/>
        <v>3017.4879999999994</v>
      </c>
      <c r="AS78" s="132">
        <f>+AS50</f>
        <v>3334.1680000000001</v>
      </c>
      <c r="AT78" s="37">
        <f t="shared" si="136"/>
        <v>2649.4839999999999</v>
      </c>
      <c r="AU78" s="37">
        <f t="shared" si="136"/>
        <v>2262.5159999999996</v>
      </c>
      <c r="AV78" s="37">
        <f>+AV50-AU50</f>
        <v>2292.9030000000002</v>
      </c>
    </row>
    <row r="79" spans="1:48" ht="15" customHeight="1" x14ac:dyDescent="0.2">
      <c r="B79" s="24" t="s">
        <v>74</v>
      </c>
      <c r="C79" s="3">
        <v>211</v>
      </c>
      <c r="D79" s="3">
        <f>+D51-C51</f>
        <v>300</v>
      </c>
      <c r="E79" s="135">
        <f>+E51</f>
        <v>301</v>
      </c>
      <c r="F79" s="3">
        <f t="shared" si="127"/>
        <v>173</v>
      </c>
      <c r="G79" s="3">
        <f t="shared" si="127"/>
        <v>219</v>
      </c>
      <c r="H79" s="3">
        <f t="shared" si="127"/>
        <v>190</v>
      </c>
      <c r="I79" s="135">
        <f>+I51</f>
        <v>342</v>
      </c>
      <c r="J79" s="3">
        <f t="shared" si="128"/>
        <v>185</v>
      </c>
      <c r="K79" s="3">
        <f t="shared" si="128"/>
        <v>240</v>
      </c>
      <c r="L79" s="3">
        <f t="shared" si="128"/>
        <v>260</v>
      </c>
      <c r="M79" s="135">
        <f>+M51</f>
        <v>371</v>
      </c>
      <c r="N79" s="3">
        <f t="shared" si="129"/>
        <v>257</v>
      </c>
      <c r="O79" s="3">
        <f t="shared" si="129"/>
        <v>295</v>
      </c>
      <c r="P79" s="3">
        <f t="shared" si="129"/>
        <v>285</v>
      </c>
      <c r="Q79" s="135">
        <f>+Q51</f>
        <v>451</v>
      </c>
      <c r="R79" s="3">
        <f t="shared" si="130"/>
        <v>347</v>
      </c>
      <c r="S79" s="3">
        <f t="shared" si="130"/>
        <v>269</v>
      </c>
      <c r="T79" s="3">
        <f t="shared" si="130"/>
        <v>357</v>
      </c>
      <c r="U79" s="135">
        <f>+U51</f>
        <v>477</v>
      </c>
      <c r="V79" s="3">
        <f t="shared" si="131"/>
        <v>287</v>
      </c>
      <c r="W79" s="3">
        <f t="shared" si="131"/>
        <v>286</v>
      </c>
      <c r="X79" s="3">
        <f t="shared" si="131"/>
        <v>373</v>
      </c>
      <c r="Y79" s="135">
        <f>+Y51</f>
        <v>514</v>
      </c>
      <c r="Z79" s="3">
        <f t="shared" si="132"/>
        <v>306</v>
      </c>
      <c r="AA79" s="3">
        <f t="shared" si="132"/>
        <v>325</v>
      </c>
      <c r="AB79" s="3">
        <f t="shared" si="132"/>
        <v>481</v>
      </c>
      <c r="AC79" s="135">
        <f>+AC51</f>
        <v>586</v>
      </c>
      <c r="AD79" s="3">
        <f t="shared" si="133"/>
        <v>392</v>
      </c>
      <c r="AE79" s="3">
        <f t="shared" si="133"/>
        <v>306</v>
      </c>
      <c r="AF79" s="3">
        <f t="shared" si="133"/>
        <v>375</v>
      </c>
      <c r="AG79" s="135">
        <f>+AG51</f>
        <v>731</v>
      </c>
      <c r="AH79" s="3">
        <f t="shared" si="134"/>
        <v>360</v>
      </c>
      <c r="AI79" s="3">
        <f t="shared" si="134"/>
        <v>302.47000000000003</v>
      </c>
      <c r="AJ79" s="3">
        <f t="shared" si="134"/>
        <v>457.53</v>
      </c>
      <c r="AK79" s="135">
        <f>+AK51</f>
        <v>676</v>
      </c>
      <c r="AL79" s="3">
        <f t="shared" si="135"/>
        <v>480</v>
      </c>
      <c r="AM79" s="3">
        <f t="shared" si="135"/>
        <v>498.43200000000002</v>
      </c>
      <c r="AN79" s="3">
        <f t="shared" si="135"/>
        <v>586.00200000000018</v>
      </c>
      <c r="AO79" s="135">
        <f>+AO51</f>
        <v>743.7</v>
      </c>
      <c r="AP79" s="3">
        <f t="shared" si="136"/>
        <v>701.298</v>
      </c>
      <c r="AQ79" s="3">
        <f t="shared" si="136"/>
        <v>710.54100000000017</v>
      </c>
      <c r="AR79" s="3">
        <f t="shared" si="136"/>
        <v>809.02099999999973</v>
      </c>
      <c r="AS79" s="135">
        <f>+AS51</f>
        <v>1241.3910000000001</v>
      </c>
      <c r="AT79" s="3">
        <f t="shared" si="136"/>
        <v>1057.2570000000001</v>
      </c>
      <c r="AU79" s="3">
        <f t="shared" si="136"/>
        <v>716.70599999999968</v>
      </c>
      <c r="AV79" s="3">
        <f t="shared" si="136"/>
        <v>967.93000000000029</v>
      </c>
    </row>
    <row r="80" spans="1:48" ht="15" customHeight="1" x14ac:dyDescent="0.2">
      <c r="B80" s="52" t="s">
        <v>184</v>
      </c>
      <c r="C80" s="13">
        <v>202</v>
      </c>
      <c r="D80" s="13">
        <f>+D52-C52</f>
        <v>288</v>
      </c>
      <c r="E80" s="137">
        <f>+E52</f>
        <v>290</v>
      </c>
      <c r="F80" s="13">
        <f t="shared" si="127"/>
        <v>160</v>
      </c>
      <c r="G80" s="13">
        <f t="shared" si="127"/>
        <v>204</v>
      </c>
      <c r="H80" s="13">
        <f t="shared" si="127"/>
        <v>176</v>
      </c>
      <c r="I80" s="137">
        <f>+I52</f>
        <v>329</v>
      </c>
      <c r="J80" s="13">
        <f t="shared" si="128"/>
        <v>169</v>
      </c>
      <c r="K80" s="13">
        <f t="shared" si="128"/>
        <v>225</v>
      </c>
      <c r="L80" s="13">
        <f t="shared" si="128"/>
        <v>246</v>
      </c>
      <c r="M80" s="137">
        <f>+M52</f>
        <v>358</v>
      </c>
      <c r="N80" s="13">
        <f t="shared" si="129"/>
        <v>242</v>
      </c>
      <c r="O80" s="13">
        <f t="shared" si="129"/>
        <v>280</v>
      </c>
      <c r="P80" s="13">
        <f t="shared" si="129"/>
        <v>272</v>
      </c>
      <c r="Q80" s="137">
        <f>+Q52</f>
        <v>438</v>
      </c>
      <c r="R80" s="13">
        <f t="shared" si="130"/>
        <v>330</v>
      </c>
      <c r="S80" s="13">
        <f t="shared" si="130"/>
        <v>252</v>
      </c>
      <c r="T80" s="13">
        <f t="shared" si="130"/>
        <v>337</v>
      </c>
      <c r="U80" s="137">
        <f>+U52</f>
        <v>460</v>
      </c>
      <c r="V80" s="13">
        <f t="shared" si="131"/>
        <v>271</v>
      </c>
      <c r="W80" s="13">
        <f t="shared" si="131"/>
        <v>266</v>
      </c>
      <c r="X80" s="13">
        <f t="shared" si="131"/>
        <v>357</v>
      </c>
      <c r="Y80" s="137">
        <f>+Y52</f>
        <v>493</v>
      </c>
      <c r="Z80" s="13">
        <f t="shared" si="132"/>
        <v>293</v>
      </c>
      <c r="AA80" s="13">
        <f t="shared" si="132"/>
        <v>302</v>
      </c>
      <c r="AB80" s="13">
        <f t="shared" si="132"/>
        <v>453</v>
      </c>
      <c r="AC80" s="137">
        <f>+AC52</f>
        <v>559</v>
      </c>
      <c r="AD80" s="13">
        <f t="shared" si="133"/>
        <v>366</v>
      </c>
      <c r="AE80" s="13">
        <f t="shared" si="133"/>
        <v>273</v>
      </c>
      <c r="AF80" s="13">
        <f t="shared" si="133"/>
        <v>338</v>
      </c>
      <c r="AG80" s="137">
        <f>+AG52</f>
        <v>695</v>
      </c>
      <c r="AH80" s="13">
        <f t="shared" si="134"/>
        <v>328</v>
      </c>
      <c r="AI80" s="13">
        <f t="shared" si="134"/>
        <v>271</v>
      </c>
      <c r="AJ80" s="13">
        <f t="shared" si="134"/>
        <v>421</v>
      </c>
      <c r="AK80" s="137">
        <f>+AK52</f>
        <v>637</v>
      </c>
      <c r="AL80" s="13">
        <f t="shared" si="135"/>
        <v>442</v>
      </c>
      <c r="AM80" s="13">
        <f t="shared" si="135"/>
        <v>439</v>
      </c>
      <c r="AN80" s="13">
        <f t="shared" si="135"/>
        <v>551</v>
      </c>
      <c r="AO80" s="137">
        <f>+AO52</f>
        <v>713</v>
      </c>
      <c r="AP80" s="13">
        <f t="shared" si="136"/>
        <v>590</v>
      </c>
      <c r="AQ80" s="13">
        <f t="shared" si="136"/>
        <v>624</v>
      </c>
      <c r="AR80" s="13">
        <f t="shared" si="136"/>
        <v>737</v>
      </c>
      <c r="AS80" s="137">
        <f>+AS52</f>
        <v>1211</v>
      </c>
      <c r="AT80" s="13">
        <f t="shared" si="136"/>
        <v>942</v>
      </c>
      <c r="AU80" s="13">
        <f t="shared" si="136"/>
        <v>620</v>
      </c>
      <c r="AV80" s="13">
        <f t="shared" si="136"/>
        <v>858</v>
      </c>
    </row>
    <row r="81" spans="2:48" ht="15" customHeight="1" x14ac:dyDescent="0.2">
      <c r="B81" s="52" t="s">
        <v>169</v>
      </c>
      <c r="C81" s="13">
        <v>10</v>
      </c>
      <c r="D81" s="13">
        <f>+D53-C53</f>
        <v>12</v>
      </c>
      <c r="E81" s="137">
        <f>+E53</f>
        <v>11</v>
      </c>
      <c r="F81" s="13">
        <f t="shared" si="127"/>
        <v>13</v>
      </c>
      <c r="G81" s="13">
        <f t="shared" si="127"/>
        <v>15</v>
      </c>
      <c r="H81" s="13">
        <f t="shared" si="127"/>
        <v>14</v>
      </c>
      <c r="I81" s="137">
        <f>+I53</f>
        <v>13</v>
      </c>
      <c r="J81" s="13">
        <f t="shared" si="128"/>
        <v>16</v>
      </c>
      <c r="K81" s="13">
        <f t="shared" si="128"/>
        <v>15</v>
      </c>
      <c r="L81" s="13">
        <f t="shared" si="128"/>
        <v>14</v>
      </c>
      <c r="M81" s="137">
        <f>+M53</f>
        <v>13</v>
      </c>
      <c r="N81" s="13">
        <f t="shared" si="129"/>
        <v>15</v>
      </c>
      <c r="O81" s="13">
        <f t="shared" si="129"/>
        <v>15</v>
      </c>
      <c r="P81" s="13">
        <f t="shared" si="129"/>
        <v>13</v>
      </c>
      <c r="Q81" s="137">
        <f>+Q53</f>
        <v>13</v>
      </c>
      <c r="R81" s="13">
        <f t="shared" si="130"/>
        <v>17</v>
      </c>
      <c r="S81" s="13">
        <f t="shared" si="130"/>
        <v>17</v>
      </c>
      <c r="T81" s="13">
        <f t="shared" si="130"/>
        <v>20</v>
      </c>
      <c r="U81" s="137">
        <f>+U53</f>
        <v>17</v>
      </c>
      <c r="V81" s="13">
        <f t="shared" si="131"/>
        <v>16</v>
      </c>
      <c r="W81" s="13">
        <f t="shared" si="131"/>
        <v>20</v>
      </c>
      <c r="X81" s="13">
        <f t="shared" si="131"/>
        <v>16</v>
      </c>
      <c r="Y81" s="137">
        <f>+Y53</f>
        <v>21</v>
      </c>
      <c r="Z81" s="13">
        <f t="shared" si="132"/>
        <v>13</v>
      </c>
      <c r="AA81" s="13">
        <f t="shared" si="132"/>
        <v>23</v>
      </c>
      <c r="AB81" s="13">
        <f t="shared" si="132"/>
        <v>28</v>
      </c>
      <c r="AC81" s="137">
        <f>+AC53</f>
        <v>27</v>
      </c>
      <c r="AD81" s="13">
        <f t="shared" si="133"/>
        <v>26</v>
      </c>
      <c r="AE81" s="13">
        <f t="shared" si="133"/>
        <v>33</v>
      </c>
      <c r="AF81" s="13">
        <f t="shared" si="133"/>
        <v>37</v>
      </c>
      <c r="AG81" s="137">
        <f>+AG53</f>
        <v>36</v>
      </c>
      <c r="AH81" s="13">
        <f t="shared" si="134"/>
        <v>32</v>
      </c>
      <c r="AI81" s="13">
        <f t="shared" si="134"/>
        <v>31</v>
      </c>
      <c r="AJ81" s="13">
        <f t="shared" si="134"/>
        <v>38</v>
      </c>
      <c r="AK81" s="137">
        <f>+AK53</f>
        <v>39</v>
      </c>
      <c r="AL81" s="13">
        <f t="shared" si="135"/>
        <v>38</v>
      </c>
      <c r="AM81" s="13">
        <f t="shared" si="135"/>
        <v>47</v>
      </c>
      <c r="AN81" s="13">
        <f t="shared" si="135"/>
        <v>47</v>
      </c>
      <c r="AO81" s="137">
        <f>+AO53</f>
        <v>32</v>
      </c>
      <c r="AP81" s="13">
        <f t="shared" si="136"/>
        <v>36</v>
      </c>
      <c r="AQ81" s="13">
        <f t="shared" si="136"/>
        <v>34</v>
      </c>
      <c r="AR81" s="13">
        <f t="shared" si="136"/>
        <v>41</v>
      </c>
      <c r="AS81" s="137">
        <f>+AS53</f>
        <v>23</v>
      </c>
      <c r="AT81" s="13">
        <f t="shared" si="136"/>
        <v>42</v>
      </c>
      <c r="AU81" s="13">
        <f t="shared" si="136"/>
        <v>29.685000000000002</v>
      </c>
      <c r="AV81" s="13">
        <f t="shared" si="136"/>
        <v>50.314999999999998</v>
      </c>
    </row>
    <row r="82" spans="2:48" ht="15" customHeight="1" x14ac:dyDescent="0.2">
      <c r="B82" s="52" t="s">
        <v>183</v>
      </c>
      <c r="C82" s="13"/>
      <c r="D82" s="13"/>
      <c r="E82" s="137"/>
      <c r="F82" s="13"/>
      <c r="G82" s="13"/>
      <c r="H82" s="13"/>
      <c r="I82" s="137"/>
      <c r="J82" s="13"/>
      <c r="K82" s="13"/>
      <c r="L82" s="13"/>
      <c r="M82" s="137"/>
      <c r="N82" s="13"/>
      <c r="O82" s="13"/>
      <c r="P82" s="13"/>
      <c r="Q82" s="137"/>
      <c r="R82" s="13"/>
      <c r="S82" s="13"/>
      <c r="T82" s="13"/>
      <c r="U82" s="137"/>
      <c r="V82" s="13"/>
      <c r="W82" s="13"/>
      <c r="X82" s="13"/>
      <c r="Y82" s="137"/>
      <c r="Z82" s="13"/>
      <c r="AA82" s="13"/>
      <c r="AB82" s="13"/>
      <c r="AC82" s="137"/>
      <c r="AD82" s="13"/>
      <c r="AE82" s="13"/>
      <c r="AF82" s="13"/>
      <c r="AG82" s="137"/>
      <c r="AH82" s="13"/>
      <c r="AI82" s="13"/>
      <c r="AJ82" s="13"/>
      <c r="AK82" s="137"/>
      <c r="AL82" s="13"/>
      <c r="AM82" s="13">
        <f t="shared" ref="AM82:AN101" si="137">+AM54-AL54</f>
        <v>3</v>
      </c>
      <c r="AN82" s="13">
        <f t="shared" si="137"/>
        <v>21</v>
      </c>
      <c r="AO82" s="137">
        <f>+AO54</f>
        <v>1</v>
      </c>
      <c r="AP82" s="13">
        <f t="shared" si="136"/>
        <v>12</v>
      </c>
      <c r="AQ82" s="13">
        <f>+AQ54-AP54</f>
        <v>114</v>
      </c>
      <c r="AR82" s="13">
        <f t="shared" ref="AR82:AR85" si="138">+AR54-AQ54</f>
        <v>31</v>
      </c>
      <c r="AS82" s="137">
        <f>+AS54</f>
        <v>8</v>
      </c>
      <c r="AT82" s="13">
        <f t="shared" si="136"/>
        <v>73</v>
      </c>
      <c r="AU82" s="13">
        <f t="shared" si="136"/>
        <v>66</v>
      </c>
      <c r="AV82" s="13">
        <f t="shared" si="136"/>
        <v>60</v>
      </c>
    </row>
    <row r="83" spans="2:48" ht="15" customHeight="1" x14ac:dyDescent="0.2">
      <c r="B83" s="24" t="s">
        <v>75</v>
      </c>
      <c r="C83" s="3">
        <v>7</v>
      </c>
      <c r="D83" s="3">
        <f t="shared" ref="D83:D89" si="139">+D55-C55</f>
        <v>6</v>
      </c>
      <c r="E83" s="135">
        <f t="shared" ref="E83:E89" si="140">+E55</f>
        <v>6</v>
      </c>
      <c r="F83" s="3">
        <f t="shared" ref="F83:H89" si="141">+F55-E55</f>
        <v>42</v>
      </c>
      <c r="G83" s="3">
        <f t="shared" si="141"/>
        <v>5</v>
      </c>
      <c r="H83" s="3">
        <f t="shared" si="141"/>
        <v>10</v>
      </c>
      <c r="I83" s="135">
        <f t="shared" ref="I83:I89" si="142">+I55</f>
        <v>10</v>
      </c>
      <c r="J83" s="3">
        <f t="shared" ref="J83:L89" si="143">+J55-I55</f>
        <v>16</v>
      </c>
      <c r="K83" s="3">
        <f t="shared" si="143"/>
        <v>15</v>
      </c>
      <c r="L83" s="3">
        <f t="shared" si="143"/>
        <v>13</v>
      </c>
      <c r="M83" s="135">
        <f t="shared" ref="M83:M89" si="144">+M55</f>
        <v>10</v>
      </c>
      <c r="N83" s="3">
        <f t="shared" ref="N83:P89" si="145">+N55-M55</f>
        <v>14</v>
      </c>
      <c r="O83" s="3">
        <f t="shared" si="145"/>
        <v>20</v>
      </c>
      <c r="P83" s="3">
        <f t="shared" si="145"/>
        <v>14</v>
      </c>
      <c r="Q83" s="135">
        <f t="shared" ref="Q83:Q89" si="146">+Q55</f>
        <v>6</v>
      </c>
      <c r="R83" s="3">
        <f t="shared" ref="R83:T89" si="147">+R55-Q55</f>
        <v>5</v>
      </c>
      <c r="S83" s="3">
        <f t="shared" si="147"/>
        <v>48</v>
      </c>
      <c r="T83" s="3">
        <f t="shared" si="147"/>
        <v>2</v>
      </c>
      <c r="U83" s="135">
        <f t="shared" ref="U83:U89" si="148">+U55</f>
        <v>10</v>
      </c>
      <c r="V83" s="3">
        <f t="shared" ref="V83:X89" si="149">+V55-U55</f>
        <v>7</v>
      </c>
      <c r="W83" s="3">
        <f t="shared" si="149"/>
        <v>6</v>
      </c>
      <c r="X83" s="3">
        <f t="shared" si="149"/>
        <v>7</v>
      </c>
      <c r="Y83" s="135">
        <f t="shared" ref="Y83:Y89" si="150">+Y55</f>
        <v>7</v>
      </c>
      <c r="Z83" s="3">
        <f t="shared" ref="Z83:AB89" si="151">+Z55-Y55</f>
        <v>6</v>
      </c>
      <c r="AA83" s="3">
        <f t="shared" si="151"/>
        <v>7</v>
      </c>
      <c r="AB83" s="3">
        <f t="shared" si="151"/>
        <v>6</v>
      </c>
      <c r="AC83" s="135">
        <f t="shared" ref="AC83:AC89" si="152">+AC55</f>
        <v>7</v>
      </c>
      <c r="AD83" s="3">
        <f t="shared" ref="AD83:AF89" si="153">+AD55-AC55</f>
        <v>7</v>
      </c>
      <c r="AE83" s="3">
        <f t="shared" si="153"/>
        <v>7</v>
      </c>
      <c r="AF83" s="3">
        <f t="shared" si="153"/>
        <v>7</v>
      </c>
      <c r="AG83" s="135">
        <f t="shared" ref="AG83:AG89" si="154">+AG55</f>
        <v>7</v>
      </c>
      <c r="AH83" s="3">
        <f t="shared" ref="AH83:AJ89" si="155">+AH55-AG55</f>
        <v>7</v>
      </c>
      <c r="AI83" s="3">
        <f t="shared" si="155"/>
        <v>9.59</v>
      </c>
      <c r="AJ83" s="3">
        <f t="shared" si="155"/>
        <v>9.41</v>
      </c>
      <c r="AK83" s="135">
        <f t="shared" ref="AK83:AK89" si="156">+AK55</f>
        <v>42</v>
      </c>
      <c r="AL83" s="3">
        <f t="shared" ref="AL83:AL89" si="157">+AL55-AK55</f>
        <v>180</v>
      </c>
      <c r="AM83" s="3">
        <f t="shared" si="137"/>
        <v>90.726999999999975</v>
      </c>
      <c r="AN83" s="3">
        <f t="shared" si="137"/>
        <v>38.017000000000053</v>
      </c>
      <c r="AO83" s="135">
        <f t="shared" ref="AO83:AO90" si="158">+AO55</f>
        <v>24.3</v>
      </c>
      <c r="AP83" s="3">
        <f>+AP55-AO55</f>
        <v>15.929999999999996</v>
      </c>
      <c r="AQ83" s="3">
        <f t="shared" si="136"/>
        <v>41.265000000000008</v>
      </c>
      <c r="AR83" s="3">
        <f t="shared" si="138"/>
        <v>52.97</v>
      </c>
      <c r="AS83" s="135">
        <f t="shared" ref="AS83:AS89" si="159">+AS55</f>
        <v>45.704999999999998</v>
      </c>
      <c r="AT83" s="3">
        <f>+AT55-AS55</f>
        <v>21.037000000000006</v>
      </c>
      <c r="AU83" s="3">
        <f t="shared" si="136"/>
        <v>36.341999999999999</v>
      </c>
      <c r="AV83" s="73"/>
    </row>
    <row r="84" spans="2:48" ht="15" customHeight="1" x14ac:dyDescent="0.2">
      <c r="B84" s="24" t="s">
        <v>76</v>
      </c>
      <c r="C84" s="18">
        <v>16</v>
      </c>
      <c r="D84" s="18">
        <f t="shared" si="139"/>
        <v>16</v>
      </c>
      <c r="E84" s="144">
        <f t="shared" si="140"/>
        <v>15</v>
      </c>
      <c r="F84" s="18">
        <f t="shared" si="141"/>
        <v>19</v>
      </c>
      <c r="G84" s="18">
        <f t="shared" si="141"/>
        <v>16</v>
      </c>
      <c r="H84" s="18">
        <f t="shared" si="141"/>
        <v>13</v>
      </c>
      <c r="I84" s="144">
        <f t="shared" si="142"/>
        <v>16</v>
      </c>
      <c r="J84" s="18">
        <f t="shared" si="143"/>
        <v>20</v>
      </c>
      <c r="K84" s="18">
        <f t="shared" si="143"/>
        <v>17</v>
      </c>
      <c r="L84" s="18">
        <f t="shared" si="143"/>
        <v>18</v>
      </c>
      <c r="M84" s="144">
        <f t="shared" si="144"/>
        <v>21</v>
      </c>
      <c r="N84" s="18">
        <f t="shared" si="145"/>
        <v>19</v>
      </c>
      <c r="O84" s="18">
        <f t="shared" si="145"/>
        <v>22</v>
      </c>
      <c r="P84" s="18">
        <f t="shared" si="145"/>
        <v>19</v>
      </c>
      <c r="Q84" s="144">
        <f t="shared" si="146"/>
        <v>18</v>
      </c>
      <c r="R84" s="18">
        <f t="shared" si="147"/>
        <v>21</v>
      </c>
      <c r="S84" s="18">
        <f t="shared" si="147"/>
        <v>19</v>
      </c>
      <c r="T84" s="18">
        <f t="shared" si="147"/>
        <v>10</v>
      </c>
      <c r="U84" s="144">
        <f t="shared" si="148"/>
        <v>18</v>
      </c>
      <c r="V84" s="18">
        <f t="shared" si="149"/>
        <v>18</v>
      </c>
      <c r="W84" s="18">
        <f t="shared" si="149"/>
        <v>14</v>
      </c>
      <c r="X84" s="18">
        <f t="shared" si="149"/>
        <v>17</v>
      </c>
      <c r="Y84" s="144">
        <f t="shared" si="150"/>
        <v>19</v>
      </c>
      <c r="Z84" s="18">
        <f t="shared" si="151"/>
        <v>17</v>
      </c>
      <c r="AA84" s="18">
        <f t="shared" si="151"/>
        <v>15</v>
      </c>
      <c r="AB84" s="18">
        <f t="shared" si="151"/>
        <v>4</v>
      </c>
      <c r="AC84" s="144">
        <f t="shared" si="152"/>
        <v>13</v>
      </c>
      <c r="AD84" s="18">
        <f t="shared" si="153"/>
        <v>18</v>
      </c>
      <c r="AE84" s="18">
        <f t="shared" si="153"/>
        <v>10</v>
      </c>
      <c r="AF84" s="18">
        <f t="shared" si="153"/>
        <v>7</v>
      </c>
      <c r="AG84" s="144">
        <f t="shared" si="154"/>
        <v>7</v>
      </c>
      <c r="AH84" s="18">
        <f t="shared" si="155"/>
        <v>7</v>
      </c>
      <c r="AI84" s="18">
        <f t="shared" si="155"/>
        <v>7.9690000000000012</v>
      </c>
      <c r="AJ84" s="18">
        <f t="shared" si="155"/>
        <v>8.0309999999999988</v>
      </c>
      <c r="AK84" s="144">
        <f t="shared" si="156"/>
        <v>8</v>
      </c>
      <c r="AL84" s="18">
        <f t="shared" si="157"/>
        <v>9</v>
      </c>
      <c r="AM84" s="18">
        <f t="shared" si="137"/>
        <v>8.5609999999999999</v>
      </c>
      <c r="AN84" s="18">
        <f t="shared" si="137"/>
        <v>8.8539999999999992</v>
      </c>
      <c r="AO84" s="144">
        <f t="shared" si="158"/>
        <v>9.6</v>
      </c>
      <c r="AP84" s="18">
        <f>+AP56-AO56</f>
        <v>9.9309999999999992</v>
      </c>
      <c r="AQ84" s="18">
        <f t="shared" si="136"/>
        <v>10.887</v>
      </c>
      <c r="AR84" s="18">
        <f t="shared" si="138"/>
        <v>43.686</v>
      </c>
      <c r="AS84" s="144">
        <f t="shared" si="159"/>
        <v>11.919</v>
      </c>
      <c r="AT84" s="18">
        <f>+AT56-AS56</f>
        <v>11.663999999999998</v>
      </c>
      <c r="AU84" s="18">
        <f t="shared" si="136"/>
        <v>11.71</v>
      </c>
      <c r="AV84" s="18">
        <f t="shared" si="136"/>
        <v>45.705999999999996</v>
      </c>
    </row>
    <row r="85" spans="2:48" ht="15" customHeight="1" x14ac:dyDescent="0.2">
      <c r="B85" s="43" t="s">
        <v>77</v>
      </c>
      <c r="C85" s="44">
        <v>550</v>
      </c>
      <c r="D85" s="44">
        <f t="shared" si="139"/>
        <v>739</v>
      </c>
      <c r="E85" s="44">
        <f t="shared" si="140"/>
        <v>644</v>
      </c>
      <c r="F85" s="44">
        <f t="shared" si="141"/>
        <v>559</v>
      </c>
      <c r="G85" s="44">
        <f t="shared" si="141"/>
        <v>599</v>
      </c>
      <c r="H85" s="44">
        <f t="shared" si="141"/>
        <v>548</v>
      </c>
      <c r="I85" s="44">
        <f t="shared" si="142"/>
        <v>602</v>
      </c>
      <c r="J85" s="44">
        <f t="shared" si="143"/>
        <v>501</v>
      </c>
      <c r="K85" s="44">
        <f t="shared" si="143"/>
        <v>536</v>
      </c>
      <c r="L85" s="44">
        <f t="shared" si="143"/>
        <v>623</v>
      </c>
      <c r="M85" s="44">
        <f t="shared" si="144"/>
        <v>690</v>
      </c>
      <c r="N85" s="44">
        <f t="shared" si="145"/>
        <v>703</v>
      </c>
      <c r="O85" s="44">
        <f t="shared" si="145"/>
        <v>795</v>
      </c>
      <c r="P85" s="44">
        <f t="shared" si="145"/>
        <v>1023</v>
      </c>
      <c r="Q85" s="44">
        <f t="shared" si="146"/>
        <v>1000</v>
      </c>
      <c r="R85" s="44">
        <f t="shared" si="147"/>
        <v>971</v>
      </c>
      <c r="S85" s="44">
        <f t="shared" si="147"/>
        <v>953</v>
      </c>
      <c r="T85" s="44">
        <f t="shared" si="147"/>
        <v>1025</v>
      </c>
      <c r="U85" s="44">
        <f t="shared" si="148"/>
        <v>1059</v>
      </c>
      <c r="V85" s="44">
        <f t="shared" si="149"/>
        <v>905</v>
      </c>
      <c r="W85" s="44">
        <f t="shared" si="149"/>
        <v>907</v>
      </c>
      <c r="X85" s="44">
        <f t="shared" si="149"/>
        <v>975</v>
      </c>
      <c r="Y85" s="44">
        <f t="shared" si="150"/>
        <v>1149</v>
      </c>
      <c r="Z85" s="44">
        <f t="shared" si="151"/>
        <v>993</v>
      </c>
      <c r="AA85" s="44">
        <f t="shared" si="151"/>
        <v>1055</v>
      </c>
      <c r="AB85" s="44">
        <f t="shared" si="151"/>
        <v>1278</v>
      </c>
      <c r="AC85" s="44">
        <f t="shared" si="152"/>
        <v>1091</v>
      </c>
      <c r="AD85" s="44">
        <f t="shared" si="153"/>
        <v>949</v>
      </c>
      <c r="AE85" s="44">
        <f t="shared" si="153"/>
        <v>807</v>
      </c>
      <c r="AF85" s="44">
        <f t="shared" si="153"/>
        <v>1041</v>
      </c>
      <c r="AG85" s="44">
        <f t="shared" si="154"/>
        <v>1373</v>
      </c>
      <c r="AH85" s="44">
        <f t="shared" si="155"/>
        <v>1065</v>
      </c>
      <c r="AI85" s="44">
        <f t="shared" si="155"/>
        <v>975.89300000000003</v>
      </c>
      <c r="AJ85" s="44">
        <f t="shared" si="155"/>
        <v>1323.107</v>
      </c>
      <c r="AK85" s="44">
        <f t="shared" si="156"/>
        <v>1637</v>
      </c>
      <c r="AL85" s="44">
        <f t="shared" si="157"/>
        <v>1707</v>
      </c>
      <c r="AM85" s="44">
        <f t="shared" si="137"/>
        <v>1726.4070000000002</v>
      </c>
      <c r="AN85" s="44">
        <f t="shared" si="137"/>
        <v>2416.7259999999997</v>
      </c>
      <c r="AO85" s="44">
        <f t="shared" si="158"/>
        <v>2265.9</v>
      </c>
      <c r="AP85" s="44">
        <f>+AP57-AO57</f>
        <v>2836.6079999999997</v>
      </c>
      <c r="AQ85" s="44">
        <f t="shared" si="136"/>
        <v>3255.9629999999997</v>
      </c>
      <c r="AR85" s="44">
        <f t="shared" si="138"/>
        <v>3788.7000000000007</v>
      </c>
      <c r="AS85" s="44">
        <f t="shared" si="159"/>
        <v>4587.4780000000001</v>
      </c>
      <c r="AT85" s="44">
        <f>+AT57-AS57</f>
        <v>3718.4049999999997</v>
      </c>
      <c r="AU85" s="44">
        <f t="shared" si="136"/>
        <v>2990.9320000000007</v>
      </c>
      <c r="AV85" s="44">
        <f t="shared" si="136"/>
        <v>3306.5389999999989</v>
      </c>
    </row>
    <row r="86" spans="2:48" ht="15" customHeight="1" x14ac:dyDescent="0.2">
      <c r="B86" s="42" t="s">
        <v>58</v>
      </c>
      <c r="C86" s="10">
        <v>32</v>
      </c>
      <c r="D86" s="10">
        <f t="shared" si="139"/>
        <v>11</v>
      </c>
      <c r="E86" s="145">
        <f t="shared" si="140"/>
        <v>51</v>
      </c>
      <c r="F86" s="10">
        <f t="shared" si="141"/>
        <v>26</v>
      </c>
      <c r="G86" s="10">
        <f t="shared" si="141"/>
        <v>37</v>
      </c>
      <c r="H86" s="10">
        <f t="shared" si="141"/>
        <v>36</v>
      </c>
      <c r="I86" s="145">
        <f t="shared" si="142"/>
        <v>39</v>
      </c>
      <c r="J86" s="10">
        <f t="shared" si="143"/>
        <v>37</v>
      </c>
      <c r="K86" s="10">
        <f t="shared" si="143"/>
        <v>24</v>
      </c>
      <c r="L86" s="10">
        <f t="shared" si="143"/>
        <v>47</v>
      </c>
      <c r="M86" s="145">
        <f t="shared" si="144"/>
        <v>12</v>
      </c>
      <c r="N86" s="10">
        <f t="shared" si="145"/>
        <v>46</v>
      </c>
      <c r="O86" s="10">
        <f t="shared" si="145"/>
        <v>45</v>
      </c>
      <c r="P86" s="10">
        <f t="shared" si="145"/>
        <v>70</v>
      </c>
      <c r="Q86" s="145">
        <f t="shared" si="146"/>
        <v>57</v>
      </c>
      <c r="R86" s="10">
        <f t="shared" si="147"/>
        <v>41</v>
      </c>
      <c r="S86" s="10">
        <f t="shared" si="147"/>
        <v>49</v>
      </c>
      <c r="T86" s="10">
        <f t="shared" si="147"/>
        <v>-5</v>
      </c>
      <c r="U86" s="145">
        <f t="shared" si="148"/>
        <v>57</v>
      </c>
      <c r="V86" s="10">
        <f t="shared" si="149"/>
        <v>-108</v>
      </c>
      <c r="W86" s="10">
        <f t="shared" si="149"/>
        <v>24</v>
      </c>
      <c r="X86" s="10">
        <f t="shared" si="149"/>
        <v>-73</v>
      </c>
      <c r="Y86" s="145">
        <f t="shared" si="150"/>
        <v>52</v>
      </c>
      <c r="Z86" s="10">
        <f t="shared" si="151"/>
        <v>56</v>
      </c>
      <c r="AA86" s="10">
        <f t="shared" si="151"/>
        <v>39</v>
      </c>
      <c r="AB86" s="10">
        <f t="shared" si="151"/>
        <v>-185</v>
      </c>
      <c r="AC86" s="145">
        <f t="shared" si="152"/>
        <v>18</v>
      </c>
      <c r="AD86" s="10">
        <f t="shared" si="153"/>
        <v>61</v>
      </c>
      <c r="AE86" s="10">
        <f t="shared" si="153"/>
        <v>58</v>
      </c>
      <c r="AF86" s="10">
        <f t="shared" si="153"/>
        <v>27</v>
      </c>
      <c r="AG86" s="145">
        <f t="shared" si="154"/>
        <v>71</v>
      </c>
      <c r="AH86" s="10">
        <f t="shared" si="155"/>
        <v>61</v>
      </c>
      <c r="AI86" s="10">
        <f t="shared" si="155"/>
        <v>7</v>
      </c>
      <c r="AJ86" s="10">
        <f t="shared" si="155"/>
        <v>122</v>
      </c>
      <c r="AK86" s="145">
        <f t="shared" si="156"/>
        <v>64</v>
      </c>
      <c r="AL86" s="10">
        <f t="shared" si="157"/>
        <v>169</v>
      </c>
      <c r="AM86" s="10">
        <f t="shared" si="137"/>
        <v>108</v>
      </c>
      <c r="AN86" s="10">
        <f t="shared" si="137"/>
        <v>207</v>
      </c>
      <c r="AO86" s="145">
        <f t="shared" si="158"/>
        <v>162</v>
      </c>
      <c r="AP86" s="10">
        <f>+AP58-AO58</f>
        <v>181</v>
      </c>
      <c r="AQ86" s="10">
        <f t="shared" si="136"/>
        <v>227.75800000000004</v>
      </c>
      <c r="AR86" s="10">
        <f t="shared" ref="AR86" si="160">+AR58-AQ58</f>
        <v>385.00900000000001</v>
      </c>
      <c r="AS86" s="145">
        <f t="shared" si="159"/>
        <v>802.93700000000001</v>
      </c>
      <c r="AT86" s="10">
        <f>+AT58-AS58</f>
        <v>273.57299999999998</v>
      </c>
      <c r="AU86" s="10">
        <f t="shared" si="136"/>
        <v>318.50199999999995</v>
      </c>
      <c r="AV86" s="10">
        <f t="shared" si="136"/>
        <v>52.981999999999971</v>
      </c>
    </row>
    <row r="87" spans="2:48" ht="15" customHeight="1" x14ac:dyDescent="0.2">
      <c r="B87" s="24" t="s">
        <v>74</v>
      </c>
      <c r="C87" s="3">
        <v>44</v>
      </c>
      <c r="D87" s="3">
        <f t="shared" si="139"/>
        <v>-73</v>
      </c>
      <c r="E87" s="135">
        <f t="shared" si="140"/>
        <v>42</v>
      </c>
      <c r="F87" s="3">
        <f t="shared" si="141"/>
        <v>-39</v>
      </c>
      <c r="G87" s="3">
        <f t="shared" si="141"/>
        <v>24</v>
      </c>
      <c r="H87" s="3">
        <f t="shared" si="141"/>
        <v>15</v>
      </c>
      <c r="I87" s="135">
        <f t="shared" si="142"/>
        <v>68</v>
      </c>
      <c r="J87" s="3">
        <f t="shared" si="143"/>
        <v>27</v>
      </c>
      <c r="K87" s="3">
        <f t="shared" si="143"/>
        <v>22</v>
      </c>
      <c r="L87" s="3">
        <f t="shared" si="143"/>
        <v>30</v>
      </c>
      <c r="M87" s="135">
        <f t="shared" si="144"/>
        <v>82</v>
      </c>
      <c r="N87" s="3">
        <f t="shared" si="145"/>
        <v>51</v>
      </c>
      <c r="O87" s="3">
        <f t="shared" si="145"/>
        <v>47</v>
      </c>
      <c r="P87" s="3">
        <f t="shared" si="145"/>
        <v>11</v>
      </c>
      <c r="Q87" s="135">
        <f t="shared" si="146"/>
        <v>41</v>
      </c>
      <c r="R87" s="3">
        <f t="shared" si="147"/>
        <v>50</v>
      </c>
      <c r="S87" s="3">
        <f t="shared" si="147"/>
        <v>16</v>
      </c>
      <c r="T87" s="3">
        <f t="shared" si="147"/>
        <v>30</v>
      </c>
      <c r="U87" s="135">
        <f t="shared" si="148"/>
        <v>63</v>
      </c>
      <c r="V87" s="3">
        <f t="shared" si="149"/>
        <v>11</v>
      </c>
      <c r="W87" s="3">
        <f t="shared" si="149"/>
        <v>16</v>
      </c>
      <c r="X87" s="3">
        <f t="shared" si="149"/>
        <v>27</v>
      </c>
      <c r="Y87" s="135">
        <f t="shared" si="150"/>
        <v>118</v>
      </c>
      <c r="Z87" s="3">
        <f t="shared" si="151"/>
        <v>29</v>
      </c>
      <c r="AA87" s="3">
        <f t="shared" si="151"/>
        <v>49</v>
      </c>
      <c r="AB87" s="3">
        <f t="shared" si="151"/>
        <v>52</v>
      </c>
      <c r="AC87" s="135">
        <f t="shared" si="152"/>
        <v>60</v>
      </c>
      <c r="AD87" s="3">
        <f t="shared" si="153"/>
        <v>27</v>
      </c>
      <c r="AE87" s="3">
        <f t="shared" si="153"/>
        <v>34</v>
      </c>
      <c r="AF87" s="3">
        <f t="shared" si="153"/>
        <v>24</v>
      </c>
      <c r="AG87" s="135">
        <f t="shared" si="154"/>
        <v>121</v>
      </c>
      <c r="AH87" s="3">
        <f t="shared" si="155"/>
        <v>59</v>
      </c>
      <c r="AI87" s="3">
        <f t="shared" si="155"/>
        <v>45</v>
      </c>
      <c r="AJ87" s="3">
        <f t="shared" si="155"/>
        <v>65</v>
      </c>
      <c r="AK87" s="135">
        <f t="shared" si="156"/>
        <v>161</v>
      </c>
      <c r="AL87" s="3">
        <f t="shared" si="157"/>
        <v>85</v>
      </c>
      <c r="AM87" s="3">
        <f t="shared" si="137"/>
        <v>99</v>
      </c>
      <c r="AN87" s="3">
        <f t="shared" si="137"/>
        <v>123</v>
      </c>
      <c r="AO87" s="135">
        <f t="shared" si="158"/>
        <v>136</v>
      </c>
      <c r="AP87" s="3">
        <f t="shared" ref="AP87" si="161">+AP59-AO59</f>
        <v>128.71899999999999</v>
      </c>
      <c r="AQ87" s="3">
        <f t="shared" si="136"/>
        <v>163.69499999999999</v>
      </c>
      <c r="AR87" s="3">
        <f>+AR59-AQ59</f>
        <v>160.851</v>
      </c>
      <c r="AS87" s="135">
        <f t="shared" si="159"/>
        <v>161.78</v>
      </c>
      <c r="AT87" s="3">
        <f t="shared" ref="AT87" si="162">+AT59-AS59</f>
        <v>204.256</v>
      </c>
      <c r="AU87" s="3">
        <f t="shared" si="136"/>
        <v>92.829999999999984</v>
      </c>
      <c r="AV87" s="3">
        <f t="shared" si="136"/>
        <v>95.066000000000031</v>
      </c>
    </row>
    <row r="88" spans="2:48" ht="15" customHeight="1" x14ac:dyDescent="0.2">
      <c r="B88" s="52" t="s">
        <v>184</v>
      </c>
      <c r="C88" s="13">
        <v>39</v>
      </c>
      <c r="D88" s="13">
        <f t="shared" si="139"/>
        <v>-79</v>
      </c>
      <c r="E88" s="137">
        <f t="shared" si="140"/>
        <v>37</v>
      </c>
      <c r="F88" s="13">
        <f t="shared" si="141"/>
        <v>-46</v>
      </c>
      <c r="G88" s="13">
        <f t="shared" si="141"/>
        <v>16</v>
      </c>
      <c r="H88" s="13">
        <f t="shared" si="141"/>
        <v>8</v>
      </c>
      <c r="I88" s="137">
        <f t="shared" si="142"/>
        <v>61</v>
      </c>
      <c r="J88" s="13">
        <f t="shared" si="143"/>
        <v>18</v>
      </c>
      <c r="K88" s="13">
        <f t="shared" si="143"/>
        <v>14</v>
      </c>
      <c r="L88" s="13">
        <f t="shared" si="143"/>
        <v>23</v>
      </c>
      <c r="M88" s="137">
        <f t="shared" si="144"/>
        <v>75</v>
      </c>
      <c r="N88" s="13">
        <f t="shared" si="145"/>
        <v>44</v>
      </c>
      <c r="O88" s="13">
        <f t="shared" si="145"/>
        <v>41</v>
      </c>
      <c r="P88" s="13">
        <f t="shared" si="145"/>
        <v>6</v>
      </c>
      <c r="Q88" s="137">
        <f t="shared" si="146"/>
        <v>36</v>
      </c>
      <c r="R88" s="13">
        <f t="shared" si="147"/>
        <v>43</v>
      </c>
      <c r="S88" s="13">
        <f t="shared" si="147"/>
        <v>9</v>
      </c>
      <c r="T88" s="13">
        <f t="shared" si="147"/>
        <v>22</v>
      </c>
      <c r="U88" s="137">
        <f t="shared" si="148"/>
        <v>56</v>
      </c>
      <c r="V88" s="13">
        <f t="shared" si="149"/>
        <v>4</v>
      </c>
      <c r="W88" s="13">
        <f t="shared" si="149"/>
        <v>7</v>
      </c>
      <c r="X88" s="13">
        <f t="shared" si="149"/>
        <v>20</v>
      </c>
      <c r="Y88" s="137">
        <f t="shared" si="150"/>
        <v>106</v>
      </c>
      <c r="Z88" s="13">
        <f t="shared" si="151"/>
        <v>24</v>
      </c>
      <c r="AA88" s="13">
        <f t="shared" si="151"/>
        <v>39</v>
      </c>
      <c r="AB88" s="13">
        <f t="shared" si="151"/>
        <v>37</v>
      </c>
      <c r="AC88" s="137">
        <f t="shared" si="152"/>
        <v>45</v>
      </c>
      <c r="AD88" s="13">
        <f t="shared" si="153"/>
        <v>13</v>
      </c>
      <c r="AE88" s="13">
        <f t="shared" si="153"/>
        <v>14</v>
      </c>
      <c r="AF88" s="13">
        <f t="shared" si="153"/>
        <v>1</v>
      </c>
      <c r="AG88" s="137">
        <f t="shared" si="154"/>
        <v>98</v>
      </c>
      <c r="AH88" s="13">
        <f t="shared" si="155"/>
        <v>39</v>
      </c>
      <c r="AI88" s="13">
        <f t="shared" si="155"/>
        <v>24</v>
      </c>
      <c r="AJ88" s="13">
        <f t="shared" si="155"/>
        <v>45</v>
      </c>
      <c r="AK88" s="137">
        <f t="shared" si="156"/>
        <v>134</v>
      </c>
      <c r="AL88" s="13">
        <f t="shared" si="157"/>
        <v>59</v>
      </c>
      <c r="AM88" s="13">
        <f t="shared" si="137"/>
        <v>73</v>
      </c>
      <c r="AN88" s="13">
        <f t="shared" si="137"/>
        <v>92</v>
      </c>
      <c r="AO88" s="137">
        <f t="shared" si="158"/>
        <v>116</v>
      </c>
      <c r="AP88" s="13">
        <f t="shared" ref="AP88:AT88" si="163">+AP60-AO60</f>
        <v>96</v>
      </c>
      <c r="AQ88" s="13">
        <f t="shared" si="136"/>
        <v>140</v>
      </c>
      <c r="AR88" s="13">
        <f t="shared" si="163"/>
        <v>144</v>
      </c>
      <c r="AS88" s="137">
        <f t="shared" si="159"/>
        <v>156</v>
      </c>
      <c r="AT88" s="13">
        <f t="shared" si="163"/>
        <v>165</v>
      </c>
      <c r="AU88" s="13">
        <f t="shared" si="136"/>
        <v>85</v>
      </c>
      <c r="AV88" s="13">
        <f>+AV64-AU60</f>
        <v>-486.87799999999999</v>
      </c>
    </row>
    <row r="89" spans="2:48" ht="15" customHeight="1" x14ac:dyDescent="0.2">
      <c r="B89" s="52" t="s">
        <v>169</v>
      </c>
      <c r="C89" s="13">
        <v>5</v>
      </c>
      <c r="D89" s="13">
        <f t="shared" si="139"/>
        <v>5</v>
      </c>
      <c r="E89" s="137">
        <f t="shared" si="140"/>
        <v>5</v>
      </c>
      <c r="F89" s="13">
        <f t="shared" si="141"/>
        <v>7</v>
      </c>
      <c r="G89" s="13">
        <f t="shared" si="141"/>
        <v>8</v>
      </c>
      <c r="H89" s="13">
        <f t="shared" si="141"/>
        <v>7</v>
      </c>
      <c r="I89" s="137">
        <f t="shared" si="142"/>
        <v>7</v>
      </c>
      <c r="J89" s="13">
        <f t="shared" si="143"/>
        <v>9</v>
      </c>
      <c r="K89" s="13">
        <f t="shared" si="143"/>
        <v>8</v>
      </c>
      <c r="L89" s="13">
        <f t="shared" si="143"/>
        <v>7</v>
      </c>
      <c r="M89" s="137">
        <f t="shared" si="144"/>
        <v>7</v>
      </c>
      <c r="N89" s="13">
        <f t="shared" si="145"/>
        <v>7</v>
      </c>
      <c r="O89" s="13">
        <f t="shared" si="145"/>
        <v>6</v>
      </c>
      <c r="P89" s="13">
        <f t="shared" si="145"/>
        <v>5</v>
      </c>
      <c r="Q89" s="137">
        <f t="shared" si="146"/>
        <v>5</v>
      </c>
      <c r="R89" s="13">
        <f t="shared" si="147"/>
        <v>7</v>
      </c>
      <c r="S89" s="13">
        <f t="shared" si="147"/>
        <v>7</v>
      </c>
      <c r="T89" s="13">
        <f t="shared" si="147"/>
        <v>8</v>
      </c>
      <c r="U89" s="137">
        <f t="shared" si="148"/>
        <v>7</v>
      </c>
      <c r="V89" s="13">
        <f t="shared" si="149"/>
        <v>7</v>
      </c>
      <c r="W89" s="13">
        <f t="shared" si="149"/>
        <v>9</v>
      </c>
      <c r="X89" s="13">
        <f t="shared" si="149"/>
        <v>7</v>
      </c>
      <c r="Y89" s="137">
        <f t="shared" si="150"/>
        <v>12</v>
      </c>
      <c r="Z89" s="13">
        <f t="shared" si="151"/>
        <v>5</v>
      </c>
      <c r="AA89" s="13">
        <f t="shared" si="151"/>
        <v>10</v>
      </c>
      <c r="AB89" s="13">
        <f t="shared" si="151"/>
        <v>15</v>
      </c>
      <c r="AC89" s="137">
        <f t="shared" si="152"/>
        <v>15</v>
      </c>
      <c r="AD89" s="13">
        <f t="shared" si="153"/>
        <v>14</v>
      </c>
      <c r="AE89" s="13">
        <f t="shared" si="153"/>
        <v>20</v>
      </c>
      <c r="AF89" s="13">
        <f t="shared" si="153"/>
        <v>23</v>
      </c>
      <c r="AG89" s="137">
        <f t="shared" si="154"/>
        <v>23</v>
      </c>
      <c r="AH89" s="13">
        <f t="shared" si="155"/>
        <v>20</v>
      </c>
      <c r="AI89" s="13">
        <f t="shared" si="155"/>
        <v>20</v>
      </c>
      <c r="AJ89" s="13">
        <f t="shared" si="155"/>
        <v>20</v>
      </c>
      <c r="AK89" s="137">
        <f t="shared" si="156"/>
        <v>26</v>
      </c>
      <c r="AL89" s="13">
        <f t="shared" si="157"/>
        <v>27</v>
      </c>
      <c r="AM89" s="13">
        <f t="shared" si="137"/>
        <v>33</v>
      </c>
      <c r="AN89" s="13">
        <f t="shared" si="137"/>
        <v>34</v>
      </c>
      <c r="AO89" s="137">
        <f t="shared" si="158"/>
        <v>21</v>
      </c>
      <c r="AP89" s="13">
        <f t="shared" ref="AP89:AT89" si="164">+AP61-AO61</f>
        <v>24</v>
      </c>
      <c r="AQ89" s="13">
        <f t="shared" si="136"/>
        <v>22</v>
      </c>
      <c r="AR89" s="13">
        <f t="shared" si="164"/>
        <v>26</v>
      </c>
      <c r="AS89" s="137">
        <f t="shared" si="159"/>
        <v>11</v>
      </c>
      <c r="AT89" s="13">
        <f t="shared" si="164"/>
        <v>28</v>
      </c>
      <c r="AU89" s="13">
        <f t="shared" si="136"/>
        <v>15</v>
      </c>
      <c r="AV89" s="13">
        <f t="shared" si="136"/>
        <v>36</v>
      </c>
    </row>
    <row r="90" spans="2:48" ht="15" customHeight="1" x14ac:dyDescent="0.2">
      <c r="B90" s="52" t="s">
        <v>183</v>
      </c>
      <c r="C90" s="13"/>
      <c r="D90" s="13"/>
      <c r="E90" s="137"/>
      <c r="F90" s="13"/>
      <c r="G90" s="13"/>
      <c r="H90" s="13"/>
      <c r="I90" s="137"/>
      <c r="J90" s="13"/>
      <c r="K90" s="13"/>
      <c r="L90" s="13"/>
      <c r="M90" s="137"/>
      <c r="N90" s="13"/>
      <c r="O90" s="13"/>
      <c r="P90" s="13"/>
      <c r="Q90" s="137"/>
      <c r="R90" s="13"/>
      <c r="S90" s="13"/>
      <c r="T90" s="13"/>
      <c r="U90" s="137"/>
      <c r="V90" s="13"/>
      <c r="W90" s="13"/>
      <c r="X90" s="13"/>
      <c r="Y90" s="137"/>
      <c r="Z90" s="13"/>
      <c r="AA90" s="13"/>
      <c r="AB90" s="13"/>
      <c r="AC90" s="137"/>
      <c r="AD90" s="13"/>
      <c r="AE90" s="13"/>
      <c r="AF90" s="13"/>
      <c r="AG90" s="137"/>
      <c r="AH90" s="13"/>
      <c r="AI90" s="13"/>
      <c r="AJ90" s="13"/>
      <c r="AK90" s="137"/>
      <c r="AL90" s="13"/>
      <c r="AM90" s="13">
        <f t="shared" si="137"/>
        <v>1</v>
      </c>
      <c r="AN90" s="13">
        <f t="shared" si="137"/>
        <v>-1</v>
      </c>
      <c r="AO90" s="137">
        <f t="shared" si="158"/>
        <v>-1</v>
      </c>
      <c r="AP90" s="13">
        <f t="shared" ref="AP90:AU90" si="165">+AP62-AO62</f>
        <v>-1</v>
      </c>
      <c r="AQ90" s="13">
        <f t="shared" si="165"/>
        <v>12</v>
      </c>
      <c r="AR90" s="13">
        <f t="shared" si="165"/>
        <v>-10</v>
      </c>
      <c r="AS90" s="137">
        <f>+AS62-AR62</f>
        <v>-5</v>
      </c>
      <c r="AT90" s="13">
        <f t="shared" si="165"/>
        <v>11</v>
      </c>
      <c r="AU90" s="13">
        <f t="shared" si="165"/>
        <v>-7</v>
      </c>
      <c r="AV90" s="13">
        <f t="shared" si="136"/>
        <v>-10</v>
      </c>
    </row>
    <row r="91" spans="2:48" ht="15" customHeight="1" x14ac:dyDescent="0.2">
      <c r="B91" s="24" t="s">
        <v>75</v>
      </c>
      <c r="C91" s="3">
        <v>-1</v>
      </c>
      <c r="D91" s="3">
        <f t="shared" ref="D91:D97" si="166">+D63-C63</f>
        <v>0</v>
      </c>
      <c r="E91" s="135">
        <f t="shared" ref="E91:E97" si="167">+E63</f>
        <v>0</v>
      </c>
      <c r="F91" s="3">
        <f t="shared" ref="F91:H97" si="168">+F63-E63</f>
        <v>8</v>
      </c>
      <c r="G91" s="3">
        <f t="shared" si="168"/>
        <v>1</v>
      </c>
      <c r="H91" s="3">
        <f t="shared" si="168"/>
        <v>1</v>
      </c>
      <c r="I91" s="135">
        <f t="shared" ref="I91:I97" si="169">+I63</f>
        <v>1</v>
      </c>
      <c r="J91" s="3">
        <f t="shared" ref="J91:L97" si="170">+J63-I63</f>
        <v>1</v>
      </c>
      <c r="K91" s="3">
        <f t="shared" si="170"/>
        <v>0</v>
      </c>
      <c r="L91" s="3">
        <f t="shared" si="170"/>
        <v>0</v>
      </c>
      <c r="M91" s="135">
        <f t="shared" ref="M91:M97" si="171">+M63</f>
        <v>1</v>
      </c>
      <c r="N91" s="3">
        <f t="shared" ref="N91:P97" si="172">+N63-M63</f>
        <v>-1</v>
      </c>
      <c r="O91" s="3">
        <f t="shared" si="172"/>
        <v>1</v>
      </c>
      <c r="P91" s="3">
        <f t="shared" si="172"/>
        <v>1</v>
      </c>
      <c r="Q91" s="135">
        <f t="shared" ref="Q91:Q97" si="173">+Q63</f>
        <v>0</v>
      </c>
      <c r="R91" s="3">
        <f t="shared" ref="R91:T97" si="174">+R63-Q63</f>
        <v>-1</v>
      </c>
      <c r="S91" s="3">
        <f t="shared" si="174"/>
        <v>2</v>
      </c>
      <c r="T91" s="3">
        <f t="shared" si="174"/>
        <v>-1</v>
      </c>
      <c r="U91" s="135">
        <f t="shared" ref="U91:U97" si="175">+U63</f>
        <v>0</v>
      </c>
      <c r="V91" s="3">
        <f t="shared" ref="V91:X97" si="176">+V63-U63</f>
        <v>0</v>
      </c>
      <c r="W91" s="3">
        <f t="shared" si="176"/>
        <v>0</v>
      </c>
      <c r="X91" s="3">
        <f t="shared" si="176"/>
        <v>0</v>
      </c>
      <c r="Y91" s="135">
        <f t="shared" ref="Y91:Y97" si="177">+Y63</f>
        <v>0</v>
      </c>
      <c r="Z91" s="3">
        <f t="shared" ref="Z91:AB97" si="178">+Z63-Y63</f>
        <v>-1</v>
      </c>
      <c r="AA91" s="3">
        <f t="shared" si="178"/>
        <v>-2</v>
      </c>
      <c r="AB91" s="3">
        <f t="shared" si="178"/>
        <v>-4</v>
      </c>
      <c r="AC91" s="135">
        <f t="shared" ref="AC91:AC97" si="179">+AC63</f>
        <v>-1</v>
      </c>
      <c r="AD91" s="3">
        <f t="shared" ref="AD91:AF97" si="180">+AD63-AC63</f>
        <v>-2</v>
      </c>
      <c r="AE91" s="3">
        <f t="shared" si="180"/>
        <v>-1</v>
      </c>
      <c r="AF91" s="3">
        <f t="shared" si="180"/>
        <v>-2</v>
      </c>
      <c r="AG91" s="135">
        <f t="shared" ref="AG91:AG97" si="181">+AG63</f>
        <v>-2</v>
      </c>
      <c r="AH91" s="3">
        <f t="shared" ref="AH91:AJ97" si="182">+AH63-AG63</f>
        <v>-4</v>
      </c>
      <c r="AI91" s="3">
        <f t="shared" si="182"/>
        <v>-2</v>
      </c>
      <c r="AJ91" s="3">
        <f t="shared" si="182"/>
        <v>-3</v>
      </c>
      <c r="AK91" s="135">
        <f t="shared" ref="AK91:AK97" si="183">+AK63</f>
        <v>1</v>
      </c>
      <c r="AL91" s="3">
        <f t="shared" ref="AL91:AL97" si="184">+AL63-AK63</f>
        <v>13</v>
      </c>
      <c r="AM91" s="3">
        <f t="shared" si="137"/>
        <v>-7</v>
      </c>
      <c r="AN91" s="3">
        <f t="shared" si="137"/>
        <v>-3</v>
      </c>
      <c r="AO91" s="135">
        <f t="shared" ref="AO91:AO98" si="185">+AO63</f>
        <v>0.6</v>
      </c>
      <c r="AP91" s="3">
        <f t="shared" ref="AP91:AV101" si="186">+AP63-AO63</f>
        <v>-2.6</v>
      </c>
      <c r="AQ91" s="3">
        <f t="shared" si="186"/>
        <v>3.5529999999999999</v>
      </c>
      <c r="AR91" s="3">
        <f t="shared" si="186"/>
        <v>-4.5529999999999999</v>
      </c>
      <c r="AS91" s="135">
        <f t="shared" ref="AS91:AS98" si="187">+AS63</f>
        <v>4.4989999999999997</v>
      </c>
      <c r="AT91" s="3">
        <f t="shared" si="186"/>
        <v>-0.32299999999999951</v>
      </c>
      <c r="AU91" s="3">
        <f t="shared" si="186"/>
        <v>5.9550000000000001</v>
      </c>
      <c r="AV91" s="73"/>
    </row>
    <row r="92" spans="2:48" ht="15" customHeight="1" x14ac:dyDescent="0.2">
      <c r="B92" s="24" t="s">
        <v>76</v>
      </c>
      <c r="C92" s="18">
        <v>1</v>
      </c>
      <c r="D92" s="18">
        <f t="shared" si="166"/>
        <v>-3</v>
      </c>
      <c r="E92" s="144">
        <f t="shared" si="167"/>
        <v>0</v>
      </c>
      <c r="F92" s="18">
        <f t="shared" si="168"/>
        <v>2</v>
      </c>
      <c r="G92" s="18">
        <f t="shared" si="168"/>
        <v>0</v>
      </c>
      <c r="H92" s="18">
        <f t="shared" si="168"/>
        <v>-1</v>
      </c>
      <c r="I92" s="144">
        <f t="shared" si="169"/>
        <v>1</v>
      </c>
      <c r="J92" s="18">
        <f t="shared" si="170"/>
        <v>2</v>
      </c>
      <c r="K92" s="18">
        <f t="shared" si="170"/>
        <v>0</v>
      </c>
      <c r="L92" s="18">
        <f t="shared" si="170"/>
        <v>0</v>
      </c>
      <c r="M92" s="144">
        <f t="shared" si="171"/>
        <v>-1</v>
      </c>
      <c r="N92" s="18">
        <f t="shared" si="172"/>
        <v>-2</v>
      </c>
      <c r="O92" s="18">
        <f t="shared" si="172"/>
        <v>0</v>
      </c>
      <c r="P92" s="18">
        <f t="shared" si="172"/>
        <v>-1</v>
      </c>
      <c r="Q92" s="144">
        <f t="shared" si="173"/>
        <v>0</v>
      </c>
      <c r="R92" s="18">
        <f t="shared" si="174"/>
        <v>5</v>
      </c>
      <c r="S92" s="18">
        <f t="shared" si="174"/>
        <v>2</v>
      </c>
      <c r="T92" s="18">
        <f t="shared" si="174"/>
        <v>-5</v>
      </c>
      <c r="U92" s="144">
        <f t="shared" si="175"/>
        <v>0</v>
      </c>
      <c r="V92" s="18">
        <f t="shared" si="176"/>
        <v>-2</v>
      </c>
      <c r="W92" s="18">
        <f t="shared" si="176"/>
        <v>-3</v>
      </c>
      <c r="X92" s="18">
        <f t="shared" si="176"/>
        <v>-3</v>
      </c>
      <c r="Y92" s="144">
        <f t="shared" si="177"/>
        <v>-1</v>
      </c>
      <c r="Z92" s="18">
        <f t="shared" si="178"/>
        <v>-2</v>
      </c>
      <c r="AA92" s="18">
        <f t="shared" si="178"/>
        <v>-2</v>
      </c>
      <c r="AB92" s="18">
        <f t="shared" si="178"/>
        <v>-10</v>
      </c>
      <c r="AC92" s="144">
        <f t="shared" si="179"/>
        <v>-4</v>
      </c>
      <c r="AD92" s="18">
        <f t="shared" si="180"/>
        <v>-2</v>
      </c>
      <c r="AE92" s="18">
        <f t="shared" si="180"/>
        <v>0</v>
      </c>
      <c r="AF92" s="18">
        <f t="shared" si="180"/>
        <v>-3</v>
      </c>
      <c r="AG92" s="144">
        <f t="shared" si="181"/>
        <v>-2</v>
      </c>
      <c r="AH92" s="18">
        <f t="shared" si="182"/>
        <v>-4</v>
      </c>
      <c r="AI92" s="18">
        <f t="shared" si="182"/>
        <v>-1</v>
      </c>
      <c r="AJ92" s="18">
        <f t="shared" si="182"/>
        <v>-5</v>
      </c>
      <c r="AK92" s="144">
        <f t="shared" si="183"/>
        <v>-3</v>
      </c>
      <c r="AL92" s="18">
        <f t="shared" si="184"/>
        <v>-4</v>
      </c>
      <c r="AM92" s="18">
        <f t="shared" si="137"/>
        <v>-3</v>
      </c>
      <c r="AN92" s="18">
        <f t="shared" si="137"/>
        <v>-6</v>
      </c>
      <c r="AO92" s="144">
        <f t="shared" si="185"/>
        <v>-3.2</v>
      </c>
      <c r="AP92" s="18">
        <f t="shared" ref="AP92:AT92" si="188">+AP64-AO64</f>
        <v>-8.8000000000000007</v>
      </c>
      <c r="AQ92" s="18">
        <f t="shared" si="186"/>
        <v>-6.7910000000000004</v>
      </c>
      <c r="AR92" s="18">
        <f t="shared" si="188"/>
        <v>-25.209</v>
      </c>
      <c r="AS92" s="144">
        <f t="shared" si="187"/>
        <v>-26.58</v>
      </c>
      <c r="AT92" s="18">
        <f t="shared" si="188"/>
        <v>-22.783999999999999</v>
      </c>
      <c r="AU92" s="18">
        <f t="shared" si="186"/>
        <v>-15.454000000000001</v>
      </c>
      <c r="AV92" s="18">
        <f t="shared" si="136"/>
        <v>-16.060000000000002</v>
      </c>
    </row>
    <row r="93" spans="2:48" ht="15" customHeight="1" x14ac:dyDescent="0.2">
      <c r="B93" s="43" t="s">
        <v>78</v>
      </c>
      <c r="C93" s="44">
        <v>75</v>
      </c>
      <c r="D93" s="44">
        <f t="shared" si="166"/>
        <v>-64</v>
      </c>
      <c r="E93" s="44">
        <f t="shared" si="167"/>
        <v>93</v>
      </c>
      <c r="F93" s="44">
        <f t="shared" si="168"/>
        <v>-3</v>
      </c>
      <c r="G93" s="44">
        <f t="shared" si="168"/>
        <v>62</v>
      </c>
      <c r="H93" s="44">
        <f t="shared" si="168"/>
        <v>50</v>
      </c>
      <c r="I93" s="44">
        <f t="shared" si="169"/>
        <v>108</v>
      </c>
      <c r="J93" s="44">
        <f t="shared" si="170"/>
        <v>68</v>
      </c>
      <c r="K93" s="44">
        <f t="shared" si="170"/>
        <v>47</v>
      </c>
      <c r="L93" s="44">
        <f t="shared" si="170"/>
        <v>76</v>
      </c>
      <c r="M93" s="44">
        <f t="shared" si="171"/>
        <v>94</v>
      </c>
      <c r="N93" s="44">
        <f t="shared" si="172"/>
        <v>95</v>
      </c>
      <c r="O93" s="44">
        <f t="shared" si="172"/>
        <v>93</v>
      </c>
      <c r="P93" s="44">
        <f t="shared" si="172"/>
        <v>80</v>
      </c>
      <c r="Q93" s="44">
        <f t="shared" si="173"/>
        <v>97</v>
      </c>
      <c r="R93" s="44">
        <f t="shared" si="174"/>
        <v>97</v>
      </c>
      <c r="S93" s="44">
        <f t="shared" si="174"/>
        <v>68</v>
      </c>
      <c r="T93" s="44">
        <f t="shared" si="174"/>
        <v>19</v>
      </c>
      <c r="U93" s="44">
        <f t="shared" si="175"/>
        <v>121</v>
      </c>
      <c r="V93" s="44">
        <f t="shared" si="176"/>
        <v>-101</v>
      </c>
      <c r="W93" s="44">
        <f t="shared" si="176"/>
        <v>39</v>
      </c>
      <c r="X93" s="44">
        <f t="shared" si="176"/>
        <v>-49</v>
      </c>
      <c r="Y93" s="44">
        <f t="shared" si="177"/>
        <v>169</v>
      </c>
      <c r="Z93" s="44">
        <f t="shared" si="178"/>
        <v>82</v>
      </c>
      <c r="AA93" s="44">
        <f t="shared" si="178"/>
        <v>84</v>
      </c>
      <c r="AB93" s="44">
        <f t="shared" si="178"/>
        <v>-147</v>
      </c>
      <c r="AC93" s="44">
        <f t="shared" si="179"/>
        <v>74</v>
      </c>
      <c r="AD93" s="44">
        <f t="shared" si="180"/>
        <v>83</v>
      </c>
      <c r="AE93" s="44">
        <f t="shared" si="180"/>
        <v>90</v>
      </c>
      <c r="AF93" s="44">
        <f t="shared" si="180"/>
        <v>47</v>
      </c>
      <c r="AG93" s="44">
        <f t="shared" si="181"/>
        <v>187</v>
      </c>
      <c r="AH93" s="44">
        <f t="shared" si="182"/>
        <v>112</v>
      </c>
      <c r="AI93" s="44">
        <f t="shared" si="182"/>
        <v>50</v>
      </c>
      <c r="AJ93" s="44">
        <f t="shared" si="182"/>
        <v>180</v>
      </c>
      <c r="AK93" s="44">
        <f t="shared" si="183"/>
        <v>223</v>
      </c>
      <c r="AL93" s="44">
        <f t="shared" si="184"/>
        <v>262</v>
      </c>
      <c r="AM93" s="44">
        <f t="shared" si="137"/>
        <v>198</v>
      </c>
      <c r="AN93" s="44">
        <f t="shared" si="137"/>
        <v>322</v>
      </c>
      <c r="AO93" s="44">
        <f t="shared" si="185"/>
        <v>295.5</v>
      </c>
      <c r="AP93" s="44">
        <f t="shared" ref="AP93:AT97" si="189">+AP65-AO65</f>
        <v>297.5</v>
      </c>
      <c r="AQ93" s="44">
        <f t="shared" si="186"/>
        <v>389</v>
      </c>
      <c r="AR93" s="44">
        <f t="shared" si="189"/>
        <v>519.1880000000001</v>
      </c>
      <c r="AS93" s="44">
        <f t="shared" si="187"/>
        <v>942.63599999999997</v>
      </c>
      <c r="AT93" s="44">
        <f t="shared" si="189"/>
        <v>454.72199999999998</v>
      </c>
      <c r="AU93" s="44">
        <f t="shared" si="186"/>
        <v>401.83300000000008</v>
      </c>
      <c r="AV93" s="44">
        <f t="shared" si="136"/>
        <v>121.85699999999997</v>
      </c>
    </row>
    <row r="94" spans="2:48" ht="15" customHeight="1" x14ac:dyDescent="0.2">
      <c r="B94" s="42" t="s">
        <v>58</v>
      </c>
      <c r="C94" s="3">
        <v>1</v>
      </c>
      <c r="D94" s="3">
        <f t="shared" si="166"/>
        <v>-20</v>
      </c>
      <c r="E94" s="135">
        <f t="shared" si="167"/>
        <v>7</v>
      </c>
      <c r="F94" s="3">
        <f t="shared" si="168"/>
        <v>0</v>
      </c>
      <c r="G94" s="3">
        <f t="shared" si="168"/>
        <v>23</v>
      </c>
      <c r="H94" s="3">
        <f t="shared" si="168"/>
        <v>-5</v>
      </c>
      <c r="I94" s="135">
        <f t="shared" si="169"/>
        <v>10</v>
      </c>
      <c r="J94" s="3">
        <f t="shared" si="170"/>
        <v>6</v>
      </c>
      <c r="K94" s="3">
        <f t="shared" si="170"/>
        <v>16</v>
      </c>
      <c r="L94" s="3">
        <f t="shared" si="170"/>
        <v>7</v>
      </c>
      <c r="M94" s="135">
        <f t="shared" si="171"/>
        <v>2</v>
      </c>
      <c r="N94" s="3">
        <f t="shared" si="172"/>
        <v>22</v>
      </c>
      <c r="O94" s="3">
        <f t="shared" si="172"/>
        <v>22</v>
      </c>
      <c r="P94" s="3">
        <f t="shared" si="172"/>
        <v>26</v>
      </c>
      <c r="Q94" s="135">
        <f t="shared" si="173"/>
        <v>37</v>
      </c>
      <c r="R94" s="3">
        <f t="shared" si="174"/>
        <v>9</v>
      </c>
      <c r="S94" s="3">
        <f t="shared" si="174"/>
        <v>28</v>
      </c>
      <c r="T94" s="3">
        <f t="shared" si="174"/>
        <v>-50</v>
      </c>
      <c r="U94" s="135">
        <f t="shared" si="175"/>
        <v>32</v>
      </c>
      <c r="V94" s="3">
        <f t="shared" si="176"/>
        <v>-136</v>
      </c>
      <c r="W94" s="3">
        <f t="shared" si="176"/>
        <v>-11</v>
      </c>
      <c r="X94" s="3">
        <f t="shared" si="176"/>
        <v>-102</v>
      </c>
      <c r="Y94" s="135">
        <f t="shared" si="177"/>
        <v>24</v>
      </c>
      <c r="Z94" s="3">
        <f t="shared" si="178"/>
        <v>18</v>
      </c>
      <c r="AA94" s="3">
        <f t="shared" si="178"/>
        <v>22</v>
      </c>
      <c r="AB94" s="3">
        <f t="shared" si="178"/>
        <v>-261</v>
      </c>
      <c r="AC94" s="135">
        <f t="shared" si="179"/>
        <v>14</v>
      </c>
      <c r="AD94" s="3">
        <f t="shared" si="180"/>
        <v>3</v>
      </c>
      <c r="AE94" s="3">
        <f t="shared" si="180"/>
        <v>15</v>
      </c>
      <c r="AF94" s="3">
        <f t="shared" si="180"/>
        <v>10</v>
      </c>
      <c r="AG94" s="135">
        <f t="shared" si="181"/>
        <v>34</v>
      </c>
      <c r="AH94" s="3">
        <f t="shared" si="182"/>
        <v>16</v>
      </c>
      <c r="AI94" s="3">
        <f t="shared" si="182"/>
        <v>-36.591000000000001</v>
      </c>
      <c r="AJ94" s="3">
        <f t="shared" si="182"/>
        <v>67.590999999999994</v>
      </c>
      <c r="AK94" s="135">
        <f t="shared" si="183"/>
        <v>29</v>
      </c>
      <c r="AL94" s="3">
        <f t="shared" si="184"/>
        <v>131</v>
      </c>
      <c r="AM94" s="3">
        <f t="shared" si="137"/>
        <v>62.769000000000005</v>
      </c>
      <c r="AN94" s="3">
        <f t="shared" si="137"/>
        <v>167.81700000000001</v>
      </c>
      <c r="AO94" s="135">
        <f t="shared" si="185"/>
        <v>130.1</v>
      </c>
      <c r="AP94" s="3">
        <f t="shared" si="189"/>
        <v>148.91100000000003</v>
      </c>
      <c r="AQ94" s="3">
        <f t="shared" si="186"/>
        <v>193.10199999999998</v>
      </c>
      <c r="AR94" s="3">
        <f t="shared" si="189"/>
        <v>243.73999999999995</v>
      </c>
      <c r="AS94" s="135">
        <f t="shared" si="187"/>
        <v>624.78300000000002</v>
      </c>
      <c r="AT94" s="3">
        <f t="shared" si="189"/>
        <v>234.74199999999996</v>
      </c>
      <c r="AU94" s="3">
        <f t="shared" si="186"/>
        <v>202.52800000000013</v>
      </c>
      <c r="AV94" s="3">
        <f t="shared" si="186"/>
        <v>-77.678000000000111</v>
      </c>
    </row>
    <row r="95" spans="2:48" ht="15" customHeight="1" x14ac:dyDescent="0.2">
      <c r="B95" s="24" t="s">
        <v>74</v>
      </c>
      <c r="C95" s="3">
        <v>38</v>
      </c>
      <c r="D95" s="3">
        <f t="shared" si="166"/>
        <v>-99</v>
      </c>
      <c r="E95" s="135">
        <f t="shared" si="167"/>
        <v>9</v>
      </c>
      <c r="F95" s="3">
        <f t="shared" si="168"/>
        <v>-19</v>
      </c>
      <c r="G95" s="3">
        <f t="shared" si="168"/>
        <v>14</v>
      </c>
      <c r="H95" s="3">
        <f t="shared" si="168"/>
        <v>9</v>
      </c>
      <c r="I95" s="135">
        <f t="shared" si="169"/>
        <v>54</v>
      </c>
      <c r="J95" s="3">
        <f t="shared" si="170"/>
        <v>21</v>
      </c>
      <c r="K95" s="3">
        <f t="shared" si="170"/>
        <v>18</v>
      </c>
      <c r="L95" s="3">
        <f t="shared" si="170"/>
        <v>23</v>
      </c>
      <c r="M95" s="135">
        <f t="shared" si="171"/>
        <v>70</v>
      </c>
      <c r="N95" s="3">
        <f t="shared" si="172"/>
        <v>39</v>
      </c>
      <c r="O95" s="3">
        <f t="shared" si="172"/>
        <v>20</v>
      </c>
      <c r="P95" s="3">
        <f t="shared" si="172"/>
        <v>8</v>
      </c>
      <c r="Q95" s="135">
        <f t="shared" si="173"/>
        <v>44</v>
      </c>
      <c r="R95" s="3">
        <f t="shared" si="174"/>
        <v>37</v>
      </c>
      <c r="S95" s="3">
        <f t="shared" si="174"/>
        <v>11</v>
      </c>
      <c r="T95" s="3">
        <f t="shared" si="174"/>
        <v>24</v>
      </c>
      <c r="U95" s="135">
        <f t="shared" si="175"/>
        <v>52</v>
      </c>
      <c r="V95" s="3">
        <f t="shared" si="176"/>
        <v>-19</v>
      </c>
      <c r="W95" s="3">
        <f t="shared" si="176"/>
        <v>0</v>
      </c>
      <c r="X95" s="3">
        <f t="shared" si="176"/>
        <v>30</v>
      </c>
      <c r="Y95" s="135">
        <f t="shared" si="177"/>
        <v>101</v>
      </c>
      <c r="Z95" s="3">
        <f t="shared" si="178"/>
        <v>14</v>
      </c>
      <c r="AA95" s="3">
        <f t="shared" si="178"/>
        <v>35</v>
      </c>
      <c r="AB95" s="3">
        <f t="shared" si="178"/>
        <v>68</v>
      </c>
      <c r="AC95" s="135">
        <f t="shared" si="179"/>
        <v>49</v>
      </c>
      <c r="AD95" s="3">
        <f t="shared" si="180"/>
        <v>15</v>
      </c>
      <c r="AE95" s="3">
        <f t="shared" si="180"/>
        <v>-20</v>
      </c>
      <c r="AF95" s="3">
        <f t="shared" si="180"/>
        <v>31</v>
      </c>
      <c r="AG95" s="135">
        <f t="shared" si="181"/>
        <v>112</v>
      </c>
      <c r="AH95" s="3">
        <f t="shared" si="182"/>
        <v>52</v>
      </c>
      <c r="AI95" s="3">
        <f t="shared" si="182"/>
        <v>9.1750000000000114</v>
      </c>
      <c r="AJ95" s="3">
        <f t="shared" si="182"/>
        <v>-33.175000000000011</v>
      </c>
      <c r="AK95" s="135">
        <f t="shared" si="183"/>
        <v>115</v>
      </c>
      <c r="AL95" s="3">
        <f t="shared" si="184"/>
        <v>93</v>
      </c>
      <c r="AM95" s="3">
        <f t="shared" si="137"/>
        <v>70.238</v>
      </c>
      <c r="AN95" s="3">
        <f t="shared" si="137"/>
        <v>68.413999999999987</v>
      </c>
      <c r="AO95" s="135">
        <f t="shared" si="185"/>
        <v>88</v>
      </c>
      <c r="AP95" s="3">
        <f t="shared" si="189"/>
        <v>57.314999999999998</v>
      </c>
      <c r="AQ95" s="3">
        <f>+AQ67-AP67</f>
        <v>60.344999999999999</v>
      </c>
      <c r="AR95" s="3">
        <f t="shared" si="189"/>
        <v>258.35199999999998</v>
      </c>
      <c r="AS95" s="135">
        <f t="shared" si="187"/>
        <v>116.627</v>
      </c>
      <c r="AT95" s="3">
        <f t="shared" si="189"/>
        <v>155.07999999999998</v>
      </c>
      <c r="AU95" s="3">
        <f t="shared" si="186"/>
        <v>62.620999999999981</v>
      </c>
      <c r="AV95" s="3">
        <f t="shared" si="186"/>
        <v>51.173000000000002</v>
      </c>
    </row>
    <row r="96" spans="2:48" ht="15" customHeight="1" x14ac:dyDescent="0.2">
      <c r="B96" s="52" t="s">
        <v>184</v>
      </c>
      <c r="C96" s="3">
        <v>35</v>
      </c>
      <c r="D96" s="3">
        <f t="shared" si="166"/>
        <v>-102</v>
      </c>
      <c r="E96" s="135">
        <f t="shared" si="167"/>
        <v>6</v>
      </c>
      <c r="F96" s="3">
        <f t="shared" si="168"/>
        <v>-24</v>
      </c>
      <c r="G96" s="3">
        <f t="shared" si="168"/>
        <v>9</v>
      </c>
      <c r="H96" s="3">
        <f t="shared" si="168"/>
        <v>4</v>
      </c>
      <c r="I96" s="135">
        <f t="shared" si="169"/>
        <v>49</v>
      </c>
      <c r="J96" s="3">
        <f t="shared" si="170"/>
        <v>15</v>
      </c>
      <c r="K96" s="3">
        <f t="shared" si="170"/>
        <v>12</v>
      </c>
      <c r="L96" s="3">
        <f t="shared" si="170"/>
        <v>19</v>
      </c>
      <c r="M96" s="135">
        <f t="shared" si="171"/>
        <v>65</v>
      </c>
      <c r="N96" s="3">
        <f t="shared" si="172"/>
        <v>35</v>
      </c>
      <c r="O96" s="3">
        <f t="shared" si="172"/>
        <v>15</v>
      </c>
      <c r="P96" s="3">
        <f t="shared" si="172"/>
        <v>5</v>
      </c>
      <c r="Q96" s="135">
        <f t="shared" si="173"/>
        <v>41</v>
      </c>
      <c r="R96" s="3">
        <f t="shared" si="174"/>
        <v>32</v>
      </c>
      <c r="S96" s="3">
        <f t="shared" si="174"/>
        <v>7</v>
      </c>
      <c r="T96" s="3">
        <f t="shared" si="174"/>
        <v>18</v>
      </c>
      <c r="U96" s="135">
        <f t="shared" si="175"/>
        <v>46</v>
      </c>
      <c r="V96" s="3">
        <f t="shared" si="176"/>
        <v>-23</v>
      </c>
      <c r="W96" s="3">
        <f t="shared" si="176"/>
        <v>-7</v>
      </c>
      <c r="X96" s="3">
        <f t="shared" si="176"/>
        <v>24</v>
      </c>
      <c r="Y96" s="135">
        <f t="shared" si="177"/>
        <v>92</v>
      </c>
      <c r="Z96" s="3">
        <f t="shared" si="178"/>
        <v>10</v>
      </c>
      <c r="AA96" s="3">
        <f t="shared" si="178"/>
        <v>28</v>
      </c>
      <c r="AB96" s="3">
        <f t="shared" si="178"/>
        <v>56</v>
      </c>
      <c r="AC96" s="135">
        <f t="shared" si="179"/>
        <v>37</v>
      </c>
      <c r="AD96" s="3">
        <f t="shared" si="180"/>
        <v>5</v>
      </c>
      <c r="AE96" s="3">
        <f t="shared" si="180"/>
        <v>-35</v>
      </c>
      <c r="AF96" s="3">
        <f t="shared" si="180"/>
        <v>14</v>
      </c>
      <c r="AG96" s="135">
        <f t="shared" si="181"/>
        <v>94</v>
      </c>
      <c r="AH96" s="3">
        <f t="shared" si="182"/>
        <v>36</v>
      </c>
      <c r="AI96" s="3">
        <f t="shared" si="182"/>
        <v>-5</v>
      </c>
      <c r="AJ96" s="3">
        <f t="shared" si="182"/>
        <v>-52</v>
      </c>
      <c r="AK96" s="135">
        <f t="shared" si="183"/>
        <v>95</v>
      </c>
      <c r="AL96" s="3">
        <f t="shared" si="184"/>
        <v>73</v>
      </c>
      <c r="AM96" s="3">
        <f t="shared" si="137"/>
        <v>49</v>
      </c>
      <c r="AN96" s="3">
        <f t="shared" si="137"/>
        <v>39</v>
      </c>
      <c r="AO96" s="135">
        <f t="shared" si="185"/>
        <v>79</v>
      </c>
      <c r="AP96" s="3">
        <f t="shared" si="189"/>
        <v>29</v>
      </c>
      <c r="AQ96" s="3">
        <f t="shared" si="186"/>
        <v>13</v>
      </c>
      <c r="AR96" s="3">
        <f t="shared" si="189"/>
        <v>263</v>
      </c>
      <c r="AS96" s="135">
        <f t="shared" si="187"/>
        <v>111</v>
      </c>
      <c r="AT96" s="3">
        <f t="shared" si="189"/>
        <v>125</v>
      </c>
      <c r="AU96" s="3">
        <f t="shared" si="186"/>
        <v>59</v>
      </c>
      <c r="AV96" s="3">
        <f t="shared" si="186"/>
        <v>36</v>
      </c>
    </row>
    <row r="97" spans="1:50" ht="15" customHeight="1" x14ac:dyDescent="0.2">
      <c r="B97" s="52" t="s">
        <v>169</v>
      </c>
      <c r="C97" s="3">
        <v>3</v>
      </c>
      <c r="D97" s="3">
        <f t="shared" si="166"/>
        <v>3</v>
      </c>
      <c r="E97" s="135">
        <f t="shared" si="167"/>
        <v>3</v>
      </c>
      <c r="F97" s="3">
        <f t="shared" si="168"/>
        <v>5</v>
      </c>
      <c r="G97" s="3">
        <f t="shared" si="168"/>
        <v>5</v>
      </c>
      <c r="H97" s="3">
        <f t="shared" si="168"/>
        <v>5</v>
      </c>
      <c r="I97" s="135">
        <f t="shared" si="169"/>
        <v>5</v>
      </c>
      <c r="J97" s="3">
        <f t="shared" si="170"/>
        <v>6</v>
      </c>
      <c r="K97" s="3">
        <f t="shared" si="170"/>
        <v>6</v>
      </c>
      <c r="L97" s="3">
        <f t="shared" si="170"/>
        <v>4</v>
      </c>
      <c r="M97" s="135">
        <f t="shared" si="171"/>
        <v>5</v>
      </c>
      <c r="N97" s="3">
        <f t="shared" si="172"/>
        <v>4</v>
      </c>
      <c r="O97" s="3">
        <f t="shared" si="172"/>
        <v>5</v>
      </c>
      <c r="P97" s="3">
        <f t="shared" si="172"/>
        <v>3</v>
      </c>
      <c r="Q97" s="135">
        <f t="shared" si="173"/>
        <v>3</v>
      </c>
      <c r="R97" s="3">
        <f t="shared" si="174"/>
        <v>5</v>
      </c>
      <c r="S97" s="3">
        <f t="shared" si="174"/>
        <v>4</v>
      </c>
      <c r="T97" s="3">
        <f t="shared" si="174"/>
        <v>6</v>
      </c>
      <c r="U97" s="135">
        <f t="shared" si="175"/>
        <v>6</v>
      </c>
      <c r="V97" s="3">
        <f t="shared" si="176"/>
        <v>4</v>
      </c>
      <c r="W97" s="3">
        <f t="shared" si="176"/>
        <v>7</v>
      </c>
      <c r="X97" s="3">
        <f t="shared" si="176"/>
        <v>6</v>
      </c>
      <c r="Y97" s="135">
        <f t="shared" si="177"/>
        <v>9</v>
      </c>
      <c r="Z97" s="3">
        <f t="shared" si="178"/>
        <v>4</v>
      </c>
      <c r="AA97" s="3">
        <f t="shared" si="178"/>
        <v>7</v>
      </c>
      <c r="AB97" s="3">
        <f t="shared" si="178"/>
        <v>12</v>
      </c>
      <c r="AC97" s="135">
        <f t="shared" si="179"/>
        <v>12</v>
      </c>
      <c r="AD97" s="3">
        <f t="shared" si="180"/>
        <v>10</v>
      </c>
      <c r="AE97" s="3">
        <f t="shared" si="180"/>
        <v>15</v>
      </c>
      <c r="AF97" s="3">
        <f t="shared" si="180"/>
        <v>17</v>
      </c>
      <c r="AG97" s="135">
        <f t="shared" si="181"/>
        <v>18</v>
      </c>
      <c r="AH97" s="3">
        <f t="shared" si="182"/>
        <v>16</v>
      </c>
      <c r="AI97" s="3">
        <f t="shared" si="182"/>
        <v>14</v>
      </c>
      <c r="AJ97" s="3">
        <f t="shared" si="182"/>
        <v>19</v>
      </c>
      <c r="AK97" s="135">
        <f t="shared" si="183"/>
        <v>20</v>
      </c>
      <c r="AL97" s="3">
        <f t="shared" si="184"/>
        <v>20</v>
      </c>
      <c r="AM97" s="3">
        <f t="shared" si="137"/>
        <v>27</v>
      </c>
      <c r="AN97" s="3">
        <f t="shared" si="137"/>
        <v>26</v>
      </c>
      <c r="AO97" s="135">
        <f t="shared" si="185"/>
        <v>17</v>
      </c>
      <c r="AP97" s="3">
        <f t="shared" si="189"/>
        <v>20</v>
      </c>
      <c r="AQ97" s="3">
        <f t="shared" si="186"/>
        <v>27</v>
      </c>
      <c r="AR97" s="3">
        <f t="shared" si="189"/>
        <v>18</v>
      </c>
      <c r="AS97" s="135">
        <f t="shared" si="187"/>
        <v>10</v>
      </c>
      <c r="AT97" s="3">
        <f t="shared" si="189"/>
        <v>21</v>
      </c>
      <c r="AU97" s="3">
        <f t="shared" si="186"/>
        <v>10</v>
      </c>
      <c r="AV97" s="3">
        <f t="shared" si="186"/>
        <v>27</v>
      </c>
    </row>
    <row r="98" spans="1:50" ht="15" customHeight="1" x14ac:dyDescent="0.2">
      <c r="B98" s="52" t="s">
        <v>183</v>
      </c>
      <c r="C98" s="3"/>
      <c r="D98" s="3"/>
      <c r="E98" s="135"/>
      <c r="F98" s="3"/>
      <c r="G98" s="3"/>
      <c r="H98" s="3"/>
      <c r="I98" s="135"/>
      <c r="J98" s="3"/>
      <c r="K98" s="3"/>
      <c r="L98" s="3"/>
      <c r="M98" s="135"/>
      <c r="N98" s="3"/>
      <c r="O98" s="3"/>
      <c r="P98" s="3"/>
      <c r="Q98" s="135"/>
      <c r="R98" s="3"/>
      <c r="S98" s="3"/>
      <c r="T98" s="3"/>
      <c r="U98" s="135"/>
      <c r="V98" s="3"/>
      <c r="W98" s="3"/>
      <c r="X98" s="3"/>
      <c r="Y98" s="135"/>
      <c r="Z98" s="3"/>
      <c r="AA98" s="3"/>
      <c r="AB98" s="3"/>
      <c r="AC98" s="135"/>
      <c r="AD98" s="3"/>
      <c r="AE98" s="3"/>
      <c r="AF98" s="3"/>
      <c r="AG98" s="135"/>
      <c r="AH98" s="3"/>
      <c r="AI98" s="3"/>
      <c r="AJ98" s="3"/>
      <c r="AK98" s="135"/>
      <c r="AL98" s="3"/>
      <c r="AM98" s="3">
        <f t="shared" si="137"/>
        <v>-1</v>
      </c>
      <c r="AN98" s="3">
        <f t="shared" si="137"/>
        <v>1</v>
      </c>
      <c r="AO98" s="135">
        <f t="shared" si="185"/>
        <v>-8</v>
      </c>
      <c r="AP98" s="3">
        <f t="shared" ref="AP98:AT101" si="190">+AP70-AO70</f>
        <v>2</v>
      </c>
      <c r="AQ98" s="3">
        <f>+AQ70-AP70</f>
        <v>27</v>
      </c>
      <c r="AR98" s="3">
        <f t="shared" si="190"/>
        <v>-23</v>
      </c>
      <c r="AS98" s="135">
        <f t="shared" si="187"/>
        <v>-4</v>
      </c>
      <c r="AT98" s="3">
        <f t="shared" si="190"/>
        <v>11</v>
      </c>
      <c r="AU98" s="3">
        <f t="shared" si="186"/>
        <v>-8</v>
      </c>
      <c r="AV98" s="3">
        <f t="shared" si="186"/>
        <v>-13</v>
      </c>
    </row>
    <row r="99" spans="1:50" ht="15" customHeight="1" x14ac:dyDescent="0.2">
      <c r="B99" s="24" t="s">
        <v>75</v>
      </c>
      <c r="C99" s="3">
        <v>-1</v>
      </c>
      <c r="D99" s="3">
        <f>+D71-C71</f>
        <v>-4</v>
      </c>
      <c r="E99" s="135">
        <f>+E71</f>
        <v>-2</v>
      </c>
      <c r="F99" s="3">
        <f t="shared" ref="F99:H101" si="191">+F71-E71</f>
        <v>7</v>
      </c>
      <c r="G99" s="3">
        <f t="shared" si="191"/>
        <v>1</v>
      </c>
      <c r="H99" s="3">
        <f t="shared" si="191"/>
        <v>1</v>
      </c>
      <c r="I99" s="135">
        <f>+I71</f>
        <v>0</v>
      </c>
      <c r="J99" s="3">
        <f t="shared" ref="J99:L101" si="192">+J71-I71</f>
        <v>1</v>
      </c>
      <c r="K99" s="3">
        <f t="shared" si="192"/>
        <v>1</v>
      </c>
      <c r="L99" s="3">
        <f t="shared" si="192"/>
        <v>1</v>
      </c>
      <c r="M99" s="135">
        <f>+M71</f>
        <v>1</v>
      </c>
      <c r="N99" s="3">
        <f t="shared" ref="N99:P101" si="193">+N71-M71</f>
        <v>1</v>
      </c>
      <c r="O99" s="3">
        <f t="shared" si="193"/>
        <v>3</v>
      </c>
      <c r="P99" s="3">
        <f t="shared" si="193"/>
        <v>2</v>
      </c>
      <c r="Q99" s="135">
        <f>+Q71</f>
        <v>0</v>
      </c>
      <c r="R99" s="3">
        <f t="shared" ref="R99:T101" si="194">+R71-Q71</f>
        <v>0</v>
      </c>
      <c r="S99" s="3">
        <f t="shared" si="194"/>
        <v>2</v>
      </c>
      <c r="T99" s="3">
        <f t="shared" si="194"/>
        <v>0</v>
      </c>
      <c r="U99" s="135">
        <f>+U71</f>
        <v>1</v>
      </c>
      <c r="V99" s="3">
        <f t="shared" ref="V99:X101" si="195">+V71-U71</f>
        <v>-2</v>
      </c>
      <c r="W99" s="3">
        <f t="shared" si="195"/>
        <v>0</v>
      </c>
      <c r="X99" s="3">
        <f t="shared" si="195"/>
        <v>0</v>
      </c>
      <c r="Y99" s="135">
        <f>+Y71</f>
        <v>0</v>
      </c>
      <c r="Z99" s="3">
        <f t="shared" ref="Z99:AB101" si="196">+Z71-Y71</f>
        <v>0</v>
      </c>
      <c r="AA99" s="3">
        <f t="shared" si="196"/>
        <v>-2</v>
      </c>
      <c r="AB99" s="3">
        <f t="shared" si="196"/>
        <v>-2</v>
      </c>
      <c r="AC99" s="135">
        <f>+AC71</f>
        <v>0</v>
      </c>
      <c r="AD99" s="3">
        <f t="shared" ref="AD99:AF101" si="197">+AD71-AC71</f>
        <v>-1</v>
      </c>
      <c r="AE99" s="3">
        <f t="shared" si="197"/>
        <v>0</v>
      </c>
      <c r="AF99" s="3">
        <f t="shared" si="197"/>
        <v>-1</v>
      </c>
      <c r="AG99" s="135">
        <f>+AG71</f>
        <v>-2</v>
      </c>
      <c r="AH99" s="3">
        <f t="shared" ref="AH99:AJ101" si="198">+AH71-AG71</f>
        <v>-4</v>
      </c>
      <c r="AI99" s="3">
        <f t="shared" si="198"/>
        <v>-1.5789999999999997</v>
      </c>
      <c r="AJ99" s="3">
        <f t="shared" si="198"/>
        <v>18.579000000000001</v>
      </c>
      <c r="AK99" s="135">
        <f>+AK71</f>
        <v>1</v>
      </c>
      <c r="AL99" s="3">
        <f>+AL71-AK71</f>
        <v>10</v>
      </c>
      <c r="AM99" s="3">
        <f t="shared" si="137"/>
        <v>-11.282999999999999</v>
      </c>
      <c r="AN99" s="3">
        <f t="shared" si="137"/>
        <v>-13.585000000000001</v>
      </c>
      <c r="AO99" s="135">
        <f>+AO71</f>
        <v>-9.3000000000000007</v>
      </c>
      <c r="AP99" s="3">
        <f>+AP71-AO71</f>
        <v>-9.745000000000001</v>
      </c>
      <c r="AQ99" s="3">
        <f t="shared" si="186"/>
        <v>-6.4059999999999988</v>
      </c>
      <c r="AR99" s="3">
        <f t="shared" si="190"/>
        <v>0.7029999999999994</v>
      </c>
      <c r="AS99" s="135">
        <f>+AS71</f>
        <v>6.984</v>
      </c>
      <c r="AT99" s="3">
        <f>+AT71-AS71</f>
        <v>-7.7320000000000002</v>
      </c>
      <c r="AU99" s="3">
        <f t="shared" si="186"/>
        <v>1.2309999999999999</v>
      </c>
      <c r="AV99" s="73"/>
    </row>
    <row r="100" spans="1:50" ht="15" customHeight="1" x14ac:dyDescent="0.2">
      <c r="B100" s="24" t="s">
        <v>76</v>
      </c>
      <c r="C100" s="3">
        <v>7</v>
      </c>
      <c r="D100" s="3">
        <f>+D72-C72</f>
        <v>-3</v>
      </c>
      <c r="E100" s="135">
        <f>+E72</f>
        <v>-8</v>
      </c>
      <c r="F100" s="3">
        <f t="shared" si="191"/>
        <v>19</v>
      </c>
      <c r="G100" s="3">
        <f t="shared" si="191"/>
        <v>5</v>
      </c>
      <c r="H100" s="3">
        <f t="shared" si="191"/>
        <v>8</v>
      </c>
      <c r="I100" s="135">
        <f>+I72</f>
        <v>2</v>
      </c>
      <c r="J100" s="3">
        <f t="shared" si="192"/>
        <v>12</v>
      </c>
      <c r="K100" s="3">
        <f t="shared" si="192"/>
        <v>6</v>
      </c>
      <c r="L100" s="3">
        <f t="shared" si="192"/>
        <v>-1</v>
      </c>
      <c r="M100" s="135">
        <f>+M72</f>
        <v>4</v>
      </c>
      <c r="N100" s="3">
        <f t="shared" si="193"/>
        <v>5</v>
      </c>
      <c r="O100" s="3">
        <f t="shared" si="193"/>
        <v>8</v>
      </c>
      <c r="P100" s="3">
        <f t="shared" si="193"/>
        <v>11</v>
      </c>
      <c r="Q100" s="135">
        <f>+Q72</f>
        <v>11</v>
      </c>
      <c r="R100" s="3">
        <f t="shared" si="194"/>
        <v>11</v>
      </c>
      <c r="S100" s="3">
        <f t="shared" si="194"/>
        <v>7</v>
      </c>
      <c r="T100" s="3">
        <f t="shared" si="194"/>
        <v>130</v>
      </c>
      <c r="U100" s="135">
        <f>+U72</f>
        <v>62</v>
      </c>
      <c r="V100" s="3">
        <f t="shared" si="195"/>
        <v>15</v>
      </c>
      <c r="W100" s="3">
        <f t="shared" si="195"/>
        <v>12</v>
      </c>
      <c r="X100" s="3">
        <f t="shared" si="195"/>
        <v>3</v>
      </c>
      <c r="Y100" s="135">
        <f>+Y72</f>
        <v>17</v>
      </c>
      <c r="Z100" s="3">
        <f t="shared" si="196"/>
        <v>10</v>
      </c>
      <c r="AA100" s="3">
        <f t="shared" si="196"/>
        <v>14</v>
      </c>
      <c r="AB100" s="3">
        <f t="shared" si="196"/>
        <v>0</v>
      </c>
      <c r="AC100" s="135">
        <f>+AC72</f>
        <v>23</v>
      </c>
      <c r="AD100" s="3">
        <f t="shared" si="197"/>
        <v>13</v>
      </c>
      <c r="AE100" s="3">
        <f t="shared" si="197"/>
        <v>47</v>
      </c>
      <c r="AF100" s="3">
        <f t="shared" si="197"/>
        <v>-5</v>
      </c>
      <c r="AG100" s="135">
        <f>+AG72</f>
        <v>6</v>
      </c>
      <c r="AH100" s="3">
        <f t="shared" si="198"/>
        <v>10</v>
      </c>
      <c r="AI100" s="3">
        <f t="shared" si="198"/>
        <v>19.283000000000001</v>
      </c>
      <c r="AJ100" s="3">
        <f t="shared" si="198"/>
        <v>63.716999999999999</v>
      </c>
      <c r="AK100" s="135">
        <f>+AK72</f>
        <v>16</v>
      </c>
      <c r="AL100" s="3">
        <f>+AL72-AK72</f>
        <v>-10</v>
      </c>
      <c r="AM100" s="3">
        <f t="shared" si="137"/>
        <v>9.3800000000000008</v>
      </c>
      <c r="AN100" s="3">
        <f t="shared" si="137"/>
        <v>31.977999999999994</v>
      </c>
      <c r="AO100" s="135">
        <f>+AO72</f>
        <v>32.200000000000003</v>
      </c>
      <c r="AP100" s="3">
        <f>+AP72-AO72</f>
        <v>82.911000000000001</v>
      </c>
      <c r="AQ100" s="3">
        <f>+AQ72-AP72</f>
        <v>214.25600000000003</v>
      </c>
      <c r="AR100" s="3">
        <f t="shared" si="190"/>
        <v>-107.70500000000001</v>
      </c>
      <c r="AS100" s="135">
        <f>+AS72</f>
        <v>32.511000000000003</v>
      </c>
      <c r="AT100" s="3">
        <f>+AT72-AS72</f>
        <v>16.366</v>
      </c>
      <c r="AU100" s="3">
        <f t="shared" si="186"/>
        <v>-9.392000000000003</v>
      </c>
      <c r="AV100" s="3">
        <f t="shared" si="186"/>
        <v>5.4979999999999976</v>
      </c>
    </row>
    <row r="101" spans="1:50" ht="15" customHeight="1" x14ac:dyDescent="0.2">
      <c r="A101" s="55" t="s">
        <v>164</v>
      </c>
      <c r="B101" s="43" t="s">
        <v>79</v>
      </c>
      <c r="C101" s="44">
        <v>45</v>
      </c>
      <c r="D101" s="44">
        <f>+D73-C73</f>
        <v>-127</v>
      </c>
      <c r="E101" s="44">
        <f>+E73</f>
        <v>6</v>
      </c>
      <c r="F101" s="44">
        <f t="shared" si="191"/>
        <v>6</v>
      </c>
      <c r="G101" s="44">
        <f t="shared" si="191"/>
        <v>45</v>
      </c>
      <c r="H101" s="44">
        <f t="shared" si="191"/>
        <v>12</v>
      </c>
      <c r="I101" s="44">
        <f>+I73</f>
        <v>67</v>
      </c>
      <c r="J101" s="44">
        <f t="shared" si="192"/>
        <v>39</v>
      </c>
      <c r="K101" s="44">
        <f t="shared" si="192"/>
        <v>41</v>
      </c>
      <c r="L101" s="44">
        <f t="shared" si="192"/>
        <v>31</v>
      </c>
      <c r="M101" s="44">
        <f>+M73</f>
        <v>76</v>
      </c>
      <c r="N101" s="44">
        <f t="shared" si="193"/>
        <v>67</v>
      </c>
      <c r="O101" s="44">
        <f t="shared" si="193"/>
        <v>54</v>
      </c>
      <c r="P101" s="44">
        <f t="shared" si="193"/>
        <v>46</v>
      </c>
      <c r="Q101" s="44">
        <f>+Q73</f>
        <v>92</v>
      </c>
      <c r="R101" s="44">
        <f t="shared" si="194"/>
        <v>58</v>
      </c>
      <c r="S101" s="44">
        <f t="shared" si="194"/>
        <v>48</v>
      </c>
      <c r="T101" s="44">
        <f t="shared" si="194"/>
        <v>102</v>
      </c>
      <c r="U101" s="44">
        <f>+U73</f>
        <v>147</v>
      </c>
      <c r="V101" s="44">
        <f t="shared" si="195"/>
        <v>-141</v>
      </c>
      <c r="W101" s="44">
        <f t="shared" si="195"/>
        <v>0</v>
      </c>
      <c r="X101" s="44">
        <f t="shared" si="195"/>
        <v>-70</v>
      </c>
      <c r="Y101" s="44">
        <f>+Y73</f>
        <v>142</v>
      </c>
      <c r="Z101" s="44">
        <f t="shared" si="196"/>
        <v>42</v>
      </c>
      <c r="AA101" s="44">
        <f t="shared" si="196"/>
        <v>69</v>
      </c>
      <c r="AB101" s="44">
        <f t="shared" si="196"/>
        <v>-195</v>
      </c>
      <c r="AC101" s="44">
        <f>+AC73</f>
        <v>85</v>
      </c>
      <c r="AD101" s="44">
        <f t="shared" si="197"/>
        <v>30</v>
      </c>
      <c r="AE101" s="44">
        <f t="shared" si="197"/>
        <v>43</v>
      </c>
      <c r="AF101" s="44">
        <f t="shared" si="197"/>
        <v>35</v>
      </c>
      <c r="AG101" s="44">
        <f>+AG73</f>
        <v>150</v>
      </c>
      <c r="AH101" s="44">
        <f t="shared" si="198"/>
        <v>74</v>
      </c>
      <c r="AI101" s="44">
        <f t="shared" si="198"/>
        <v>-9.7119999999999891</v>
      </c>
      <c r="AJ101" s="44">
        <f t="shared" si="198"/>
        <v>115.71199999999999</v>
      </c>
      <c r="AK101" s="44">
        <f>+AK73</f>
        <v>161</v>
      </c>
      <c r="AL101" s="44">
        <f>+AL73-AK73</f>
        <v>224</v>
      </c>
      <c r="AM101" s="44">
        <f t="shared" si="137"/>
        <v>131.10400000000004</v>
      </c>
      <c r="AN101" s="44">
        <f t="shared" si="137"/>
        <v>254.62399999999991</v>
      </c>
      <c r="AO101" s="44">
        <f>+AO73</f>
        <v>241.1</v>
      </c>
      <c r="AP101" s="44">
        <f>+AP73-AO73</f>
        <v>279.29200000000003</v>
      </c>
      <c r="AQ101" s="44">
        <v>446.79700000000003</v>
      </c>
      <c r="AR101" s="44">
        <f t="shared" si="190"/>
        <v>433.58299999999838</v>
      </c>
      <c r="AS101" s="44">
        <f>+AS73</f>
        <v>780.90499999999997</v>
      </c>
      <c r="AT101" s="44">
        <f>+AT73-AS73</f>
        <v>398.45600000000013</v>
      </c>
      <c r="AU101" s="44">
        <f t="shared" si="186"/>
        <v>256.98799999999983</v>
      </c>
      <c r="AV101" s="44">
        <f t="shared" si="186"/>
        <v>-21.490000000000009</v>
      </c>
    </row>
    <row r="102" spans="1:50" x14ac:dyDescent="0.2"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</row>
    <row r="103" spans="1:50" x14ac:dyDescent="0.2">
      <c r="AT103" s="101"/>
      <c r="AU103" s="101"/>
    </row>
    <row r="104" spans="1:50" ht="20.100000000000001" customHeight="1" x14ac:dyDescent="0.2">
      <c r="B104" s="32" t="s">
        <v>111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</row>
    <row r="105" spans="1:50" x14ac:dyDescent="0.2">
      <c r="B105" s="34" t="s">
        <v>65</v>
      </c>
      <c r="C105" s="35" t="s">
        <v>99</v>
      </c>
      <c r="D105" s="35">
        <v>2008</v>
      </c>
      <c r="E105" s="35" t="s">
        <v>100</v>
      </c>
      <c r="F105" s="35" t="s">
        <v>101</v>
      </c>
      <c r="G105" s="35" t="s">
        <v>102</v>
      </c>
      <c r="H105" s="35">
        <v>2009</v>
      </c>
      <c r="I105" s="35" t="s">
        <v>103</v>
      </c>
      <c r="J105" s="35" t="s">
        <v>104</v>
      </c>
      <c r="K105" s="35" t="s">
        <v>105</v>
      </c>
      <c r="L105" s="35">
        <v>2010</v>
      </c>
      <c r="M105" s="35" t="s">
        <v>106</v>
      </c>
      <c r="N105" s="35" t="s">
        <v>107</v>
      </c>
      <c r="O105" s="35" t="s">
        <v>108</v>
      </c>
      <c r="P105" s="35">
        <v>2011</v>
      </c>
      <c r="Q105" s="35" t="s">
        <v>96</v>
      </c>
      <c r="R105" s="35" t="s">
        <v>97</v>
      </c>
      <c r="S105" s="35" t="s">
        <v>98</v>
      </c>
      <c r="T105" s="35">
        <v>2012</v>
      </c>
      <c r="U105" s="35" t="s">
        <v>93</v>
      </c>
      <c r="V105" s="35" t="s">
        <v>94</v>
      </c>
      <c r="W105" s="35" t="s">
        <v>95</v>
      </c>
      <c r="X105" s="35">
        <v>2013</v>
      </c>
      <c r="Y105" s="35" t="s">
        <v>90</v>
      </c>
      <c r="Z105" s="35" t="s">
        <v>91</v>
      </c>
      <c r="AA105" s="35" t="s">
        <v>92</v>
      </c>
      <c r="AB105" s="35">
        <v>2014</v>
      </c>
      <c r="AC105" s="35" t="s">
        <v>87</v>
      </c>
      <c r="AD105" s="35" t="s">
        <v>88</v>
      </c>
      <c r="AE105" s="35" t="s">
        <v>89</v>
      </c>
      <c r="AF105" s="35">
        <v>2015</v>
      </c>
      <c r="AG105" s="35" t="s">
        <v>84</v>
      </c>
      <c r="AH105" s="35" t="s">
        <v>85</v>
      </c>
      <c r="AI105" s="35" t="s">
        <v>86</v>
      </c>
      <c r="AJ105" s="35">
        <v>2016</v>
      </c>
      <c r="AK105" s="35" t="s">
        <v>83</v>
      </c>
      <c r="AL105" s="35" t="s">
        <v>82</v>
      </c>
      <c r="AM105" s="35" t="s">
        <v>81</v>
      </c>
      <c r="AN105" s="35">
        <v>2017</v>
      </c>
      <c r="AO105" s="35" t="s">
        <v>171</v>
      </c>
      <c r="AP105" s="35" t="s">
        <v>174</v>
      </c>
      <c r="AQ105" s="35" t="s">
        <v>176</v>
      </c>
      <c r="AR105" s="35">
        <v>2018</v>
      </c>
      <c r="AS105" s="35" t="s">
        <v>187</v>
      </c>
      <c r="AT105" s="35" t="s">
        <v>189</v>
      </c>
      <c r="AU105" s="35" t="s">
        <v>192</v>
      </c>
      <c r="AV105" s="35">
        <v>2019</v>
      </c>
    </row>
    <row r="106" spans="1:50" ht="15" customHeight="1" x14ac:dyDescent="0.2">
      <c r="B106" s="42" t="s">
        <v>112</v>
      </c>
      <c r="C106" s="10">
        <v>454.78300000000002</v>
      </c>
      <c r="D106" s="10">
        <v>506.36399999999998</v>
      </c>
      <c r="E106" s="10">
        <v>468.13499999999999</v>
      </c>
      <c r="F106" s="10">
        <v>525.64200000000005</v>
      </c>
      <c r="G106" s="10">
        <v>545.23900000000003</v>
      </c>
      <c r="H106" s="10">
        <v>561.36</v>
      </c>
      <c r="I106" s="10">
        <v>652.00699999999995</v>
      </c>
      <c r="J106" s="10">
        <v>622.27599999999995</v>
      </c>
      <c r="K106" s="10">
        <v>565.90700000000004</v>
      </c>
      <c r="L106" s="10">
        <v>758.55399999999997</v>
      </c>
      <c r="M106" s="10">
        <v>845.01199999999994</v>
      </c>
      <c r="N106" s="10">
        <v>760.62199999999996</v>
      </c>
      <c r="O106" s="10">
        <v>700.50800000000004</v>
      </c>
      <c r="P106" s="10">
        <v>786.32299999999998</v>
      </c>
      <c r="Q106" s="10">
        <v>845.05</v>
      </c>
      <c r="R106" s="10">
        <v>858.43499999999995</v>
      </c>
      <c r="S106" s="10">
        <v>694.87599999999998</v>
      </c>
      <c r="T106" s="10">
        <v>1063.761</v>
      </c>
      <c r="U106" s="10">
        <v>1186.3050000000001</v>
      </c>
      <c r="V106" s="10">
        <v>953.84199999999998</v>
      </c>
      <c r="W106" s="10">
        <v>855.75099999999998</v>
      </c>
      <c r="X106" s="10">
        <v>1055.153</v>
      </c>
      <c r="Y106" s="10">
        <v>1329.5609999999999</v>
      </c>
      <c r="Z106" s="10">
        <v>1109.6179999999999</v>
      </c>
      <c r="AA106" s="10">
        <v>942.06600000000003</v>
      </c>
      <c r="AB106" s="10">
        <v>1047.4490000000001</v>
      </c>
      <c r="AC106" s="10">
        <v>1246.0250000000001</v>
      </c>
      <c r="AD106" s="10">
        <v>1197.0229999999999</v>
      </c>
      <c r="AE106" s="10">
        <v>1155.1369999999999</v>
      </c>
      <c r="AF106" s="10">
        <v>1032.202</v>
      </c>
      <c r="AG106" s="10">
        <v>1227.902</v>
      </c>
      <c r="AH106" s="10">
        <v>1235.0550000000001</v>
      </c>
      <c r="AI106" s="10">
        <v>1181.9059999999999</v>
      </c>
      <c r="AJ106" s="10">
        <v>1483.4290000000001</v>
      </c>
      <c r="AK106" s="10">
        <v>3101.2710000000002</v>
      </c>
      <c r="AL106" s="10">
        <v>2950.7260000000001</v>
      </c>
      <c r="AM106" s="10">
        <v>2830.6460000000002</v>
      </c>
      <c r="AN106" s="10">
        <v>2985.8330000000001</v>
      </c>
      <c r="AO106" s="3">
        <v>3760.6170000000002</v>
      </c>
      <c r="AP106" s="3">
        <v>3737.5549999999998</v>
      </c>
      <c r="AQ106" s="3">
        <v>4725.6019999999999</v>
      </c>
      <c r="AR106" s="3">
        <v>4581.6000000000004</v>
      </c>
      <c r="AS106" s="3">
        <v>4520.4250000000002</v>
      </c>
      <c r="AT106" s="3">
        <v>4292.25</v>
      </c>
      <c r="AU106" s="3">
        <v>3977.0259999999998</v>
      </c>
      <c r="AV106" s="3">
        <v>4094.625</v>
      </c>
      <c r="AX106" s="36"/>
    </row>
    <row r="107" spans="1:50" ht="15" customHeight="1" x14ac:dyDescent="0.2">
      <c r="B107" s="24" t="s">
        <v>113</v>
      </c>
      <c r="C107" s="3">
        <v>309.91500000000002</v>
      </c>
      <c r="D107" s="3">
        <v>451.54899999999998</v>
      </c>
      <c r="E107" s="3">
        <v>466.96199999999999</v>
      </c>
      <c r="F107" s="3">
        <v>458.35399999999998</v>
      </c>
      <c r="G107" s="3">
        <v>468.87099999999998</v>
      </c>
      <c r="H107" s="3">
        <v>334.01</v>
      </c>
      <c r="I107" s="3">
        <v>395.19299999999998</v>
      </c>
      <c r="J107" s="3">
        <v>377.27699999999999</v>
      </c>
      <c r="K107" s="3">
        <v>448.66300000000001</v>
      </c>
      <c r="L107" s="3">
        <v>379.06200000000001</v>
      </c>
      <c r="M107" s="3">
        <v>435.762</v>
      </c>
      <c r="N107" s="3">
        <v>472.39699999999999</v>
      </c>
      <c r="O107" s="3">
        <v>555.16600000000005</v>
      </c>
      <c r="P107" s="3">
        <v>543.64200000000005</v>
      </c>
      <c r="Q107" s="3">
        <v>792.29200000000003</v>
      </c>
      <c r="R107" s="3">
        <v>651.06299999999999</v>
      </c>
      <c r="S107" s="3">
        <v>638.48099999999999</v>
      </c>
      <c r="T107" s="3">
        <v>619.40899999999999</v>
      </c>
      <c r="U107" s="3">
        <v>865.57600000000002</v>
      </c>
      <c r="V107" s="3">
        <v>769.04100000000005</v>
      </c>
      <c r="W107" s="3">
        <v>850.03200000000004</v>
      </c>
      <c r="X107" s="3">
        <v>789.68899999999996</v>
      </c>
      <c r="Y107" s="3">
        <v>684.495</v>
      </c>
      <c r="Z107" s="3">
        <v>792.79700000000003</v>
      </c>
      <c r="AA107" s="3">
        <v>732.05200000000002</v>
      </c>
      <c r="AB107" s="3">
        <v>704.38800000000003</v>
      </c>
      <c r="AC107" s="3">
        <v>839.63699999999994</v>
      </c>
      <c r="AD107" s="3">
        <v>1024.7270000000001</v>
      </c>
      <c r="AE107" s="3">
        <v>1104.527</v>
      </c>
      <c r="AF107" s="3">
        <v>959.64599999999996</v>
      </c>
      <c r="AG107" s="3">
        <v>928.69299999999998</v>
      </c>
      <c r="AH107" s="3">
        <v>774.59</v>
      </c>
      <c r="AI107" s="3">
        <v>769.12400000000002</v>
      </c>
      <c r="AJ107" s="3">
        <v>1075.3219999999999</v>
      </c>
      <c r="AK107" s="3">
        <v>1163.5609999999999</v>
      </c>
      <c r="AL107" s="3">
        <v>1156.5540000000001</v>
      </c>
      <c r="AM107" s="3">
        <v>1709.933</v>
      </c>
      <c r="AN107" s="3">
        <v>1890.0139999999999</v>
      </c>
      <c r="AO107" s="3">
        <v>1515.829</v>
      </c>
      <c r="AP107" s="3">
        <v>1707.09</v>
      </c>
      <c r="AQ107" s="3">
        <v>1738.7550000000001</v>
      </c>
      <c r="AR107" s="3">
        <v>1444.2840000000001</v>
      </c>
      <c r="AS107" s="3">
        <v>2323.915</v>
      </c>
      <c r="AT107" s="3">
        <v>2086.7939999999999</v>
      </c>
      <c r="AU107" s="3">
        <v>1399.9860000000001</v>
      </c>
      <c r="AV107" s="3">
        <v>1953.336</v>
      </c>
    </row>
    <row r="108" spans="1:50" ht="15" customHeight="1" x14ac:dyDescent="0.2">
      <c r="B108" s="24" t="s">
        <v>114</v>
      </c>
      <c r="C108" s="3">
        <v>544.04300000000001</v>
      </c>
      <c r="D108" s="3">
        <v>392.33800000000002</v>
      </c>
      <c r="E108" s="3">
        <v>325.81700000000001</v>
      </c>
      <c r="F108" s="3">
        <v>300.846</v>
      </c>
      <c r="G108" s="3">
        <v>251.56700000000001</v>
      </c>
      <c r="H108" s="3">
        <v>280.42599999999999</v>
      </c>
      <c r="I108" s="3">
        <v>226.68600000000001</v>
      </c>
      <c r="J108" s="3">
        <v>262.65300000000002</v>
      </c>
      <c r="K108" s="3">
        <v>281.20100000000002</v>
      </c>
      <c r="L108" s="3">
        <v>303.28100000000001</v>
      </c>
      <c r="M108" s="3">
        <v>272.93299999999999</v>
      </c>
      <c r="N108" s="3">
        <v>335.839</v>
      </c>
      <c r="O108" s="3">
        <v>460.863</v>
      </c>
      <c r="P108" s="3">
        <v>496.87099999999998</v>
      </c>
      <c r="Q108" s="3">
        <v>383.62900000000002</v>
      </c>
      <c r="R108" s="3">
        <v>457.26799999999997</v>
      </c>
      <c r="S108" s="3">
        <v>433.98099999999999</v>
      </c>
      <c r="T108" s="3">
        <v>426.27100000000002</v>
      </c>
      <c r="U108" s="3">
        <v>342.71199999999999</v>
      </c>
      <c r="V108" s="3">
        <v>502.35399999999998</v>
      </c>
      <c r="W108" s="3">
        <v>578.62099999999998</v>
      </c>
      <c r="X108" s="3">
        <v>521.17399999999998</v>
      </c>
      <c r="Y108" s="3">
        <v>477.74799999999999</v>
      </c>
      <c r="Z108" s="3">
        <v>562.20100000000002</v>
      </c>
      <c r="AA108" s="3">
        <v>632.68100000000004</v>
      </c>
      <c r="AB108" s="3">
        <v>722.47900000000004</v>
      </c>
      <c r="AC108" s="3">
        <v>625.23800000000006</v>
      </c>
      <c r="AD108" s="3">
        <v>691.97500000000002</v>
      </c>
      <c r="AE108" s="3">
        <v>862.03700000000003</v>
      </c>
      <c r="AF108" s="3">
        <v>891.44600000000003</v>
      </c>
      <c r="AG108" s="3">
        <v>662.59</v>
      </c>
      <c r="AH108" s="3">
        <v>753.17100000000005</v>
      </c>
      <c r="AI108" s="3">
        <v>846.87900000000002</v>
      </c>
      <c r="AJ108" s="3">
        <v>968.74099999999999</v>
      </c>
      <c r="AK108" s="3">
        <v>964.72199999999998</v>
      </c>
      <c r="AL108" s="3">
        <v>971.07600000000002</v>
      </c>
      <c r="AM108" s="3">
        <v>879.96500000000003</v>
      </c>
      <c r="AN108" s="3">
        <v>948.78899999999999</v>
      </c>
      <c r="AO108" s="3">
        <v>897.423</v>
      </c>
      <c r="AP108" s="3">
        <v>1001.571</v>
      </c>
      <c r="AQ108" s="3">
        <v>1384.643</v>
      </c>
      <c r="AR108" s="3">
        <v>1370.5650000000001</v>
      </c>
      <c r="AS108" s="3">
        <v>1151.3779999999999</v>
      </c>
      <c r="AT108" s="3">
        <v>1225.769</v>
      </c>
      <c r="AU108" s="3">
        <v>1739.1</v>
      </c>
      <c r="AV108" s="3">
        <v>1448.934</v>
      </c>
    </row>
    <row r="109" spans="1:50" ht="15" customHeight="1" x14ac:dyDescent="0.2">
      <c r="B109" s="24" t="s">
        <v>115</v>
      </c>
      <c r="C109" s="3">
        <v>629.05700000000002</v>
      </c>
      <c r="D109" s="3">
        <v>690.952</v>
      </c>
      <c r="E109" s="3">
        <v>707.62199999999996</v>
      </c>
      <c r="F109" s="3">
        <v>641.13</v>
      </c>
      <c r="G109" s="3">
        <v>634.67499999999995</v>
      </c>
      <c r="H109" s="3">
        <v>636.35</v>
      </c>
      <c r="I109" s="3">
        <v>612.96199999999999</v>
      </c>
      <c r="J109" s="3">
        <v>627.29300000000001</v>
      </c>
      <c r="K109" s="3">
        <v>589.26199999999994</v>
      </c>
      <c r="L109" s="3">
        <v>602.05899999999997</v>
      </c>
      <c r="M109" s="3">
        <v>597.84100000000001</v>
      </c>
      <c r="N109" s="3">
        <v>609.89400000000001</v>
      </c>
      <c r="O109" s="3">
        <v>658.73299999999995</v>
      </c>
      <c r="P109" s="3">
        <v>689.96199999999999</v>
      </c>
      <c r="Q109" s="3">
        <v>692.53399999999999</v>
      </c>
      <c r="R109" s="3">
        <v>735.88499999999999</v>
      </c>
      <c r="S109" s="3">
        <v>740.03200000000004</v>
      </c>
      <c r="T109" s="3">
        <v>748.505</v>
      </c>
      <c r="U109" s="3">
        <v>746.23</v>
      </c>
      <c r="V109" s="3">
        <v>793.77</v>
      </c>
      <c r="W109" s="3">
        <v>830.55899999999997</v>
      </c>
      <c r="X109" s="3">
        <v>904.71199999999999</v>
      </c>
      <c r="Y109" s="3">
        <v>984.78499999999997</v>
      </c>
      <c r="Z109" s="3">
        <v>1076.9390000000001</v>
      </c>
      <c r="AA109" s="3">
        <v>1170.8979999999999</v>
      </c>
      <c r="AB109" s="3">
        <v>1185.759</v>
      </c>
      <c r="AC109" s="3">
        <v>1247.454</v>
      </c>
      <c r="AD109" s="3">
        <v>1305.2249999999999</v>
      </c>
      <c r="AE109" s="3">
        <v>1438.7170000000001</v>
      </c>
      <c r="AF109" s="3">
        <v>1379.2439999999999</v>
      </c>
      <c r="AG109" s="3">
        <v>1378.0940000000001</v>
      </c>
      <c r="AH109" s="3">
        <v>1399.0419999999999</v>
      </c>
      <c r="AI109" s="3">
        <v>1399.5129999999999</v>
      </c>
      <c r="AJ109" s="3">
        <v>1487.673</v>
      </c>
      <c r="AK109" s="3">
        <v>1495.7349999999999</v>
      </c>
      <c r="AL109" s="3">
        <v>1511.653</v>
      </c>
      <c r="AM109" s="3">
        <v>1506.5740000000001</v>
      </c>
      <c r="AN109" s="3">
        <v>1597.309</v>
      </c>
      <c r="AO109" s="3">
        <v>1655.25</v>
      </c>
      <c r="AP109" s="3">
        <v>1731.52</v>
      </c>
      <c r="AQ109" s="3">
        <v>2011.8140000000001</v>
      </c>
      <c r="AR109" s="59">
        <v>1989.2260000000001</v>
      </c>
      <c r="AS109" s="3">
        <v>2044.829</v>
      </c>
      <c r="AT109" s="3">
        <v>2051.9180000000001</v>
      </c>
      <c r="AU109" s="3">
        <v>2061.1680000000001</v>
      </c>
      <c r="AV109" s="3">
        <v>2135.2060000000001</v>
      </c>
    </row>
    <row r="110" spans="1:50" ht="15" customHeight="1" x14ac:dyDescent="0.2">
      <c r="B110" s="24" t="s">
        <v>116</v>
      </c>
      <c r="C110" s="3">
        <v>2.8220000000000001</v>
      </c>
      <c r="D110" s="3">
        <v>3.8239999999999998</v>
      </c>
      <c r="E110" s="3">
        <v>3.0369999999999999</v>
      </c>
      <c r="F110" s="3">
        <v>2.4460000000000002</v>
      </c>
      <c r="G110" s="3">
        <v>2.081</v>
      </c>
      <c r="H110" s="3">
        <v>2.778</v>
      </c>
      <c r="I110" s="3">
        <v>2.589</v>
      </c>
      <c r="J110" s="3">
        <v>3.1859999999999999</v>
      </c>
      <c r="K110" s="3">
        <v>2.75</v>
      </c>
      <c r="L110" s="3">
        <v>2.7349999999999999</v>
      </c>
      <c r="M110" s="3">
        <v>2.74</v>
      </c>
      <c r="N110" s="3">
        <v>2.81</v>
      </c>
      <c r="O110" s="3">
        <v>3.0310000000000001</v>
      </c>
      <c r="P110" s="3">
        <v>1.9450000000000001</v>
      </c>
      <c r="Q110" s="3">
        <v>2.4380000000000002</v>
      </c>
      <c r="R110" s="3">
        <v>2.5019999999999998</v>
      </c>
      <c r="S110" s="3">
        <v>2.5830000000000002</v>
      </c>
      <c r="T110" s="3">
        <v>2.6909999999999998</v>
      </c>
      <c r="U110" s="3">
        <v>3.0350000000000001</v>
      </c>
      <c r="V110" s="3">
        <v>1.6990000000000001</v>
      </c>
      <c r="W110" s="3">
        <v>2.1389999999999998</v>
      </c>
      <c r="X110" s="3">
        <v>3.3109999999999999</v>
      </c>
      <c r="Y110" s="3">
        <v>4.077</v>
      </c>
      <c r="Z110" s="3">
        <v>4.601</v>
      </c>
      <c r="AA110" s="3">
        <v>4.5369999999999999</v>
      </c>
      <c r="AB110" s="3">
        <v>4.7140000000000004</v>
      </c>
      <c r="AC110" s="3">
        <v>5.7350000000000003</v>
      </c>
      <c r="AD110" s="3">
        <v>5.9020000000000001</v>
      </c>
      <c r="AE110" s="3">
        <v>6.3019999999999996</v>
      </c>
      <c r="AF110" s="3">
        <v>14.603999999999999</v>
      </c>
      <c r="AG110" s="3">
        <v>14.635999999999999</v>
      </c>
      <c r="AH110" s="3">
        <v>14.803000000000001</v>
      </c>
      <c r="AI110" s="3">
        <v>14.718999999999999</v>
      </c>
      <c r="AJ110" s="3">
        <v>16.678000000000001</v>
      </c>
      <c r="AK110" s="3">
        <v>19.338999999999999</v>
      </c>
      <c r="AL110" s="3">
        <v>18.687000000000001</v>
      </c>
      <c r="AM110" s="3">
        <v>19.242000000000001</v>
      </c>
      <c r="AN110" s="3">
        <v>20.236000000000001</v>
      </c>
      <c r="AO110" s="3">
        <v>69.64</v>
      </c>
      <c r="AP110" s="3">
        <v>68.878</v>
      </c>
      <c r="AQ110" s="3">
        <v>165.41399999999999</v>
      </c>
      <c r="AR110" s="3">
        <v>115.012</v>
      </c>
      <c r="AS110" s="3">
        <v>121.779</v>
      </c>
      <c r="AT110" s="3">
        <v>127.13500000000001</v>
      </c>
      <c r="AU110" s="3">
        <v>193.32400000000001</v>
      </c>
      <c r="AV110" s="3">
        <v>106.459</v>
      </c>
    </row>
    <row r="111" spans="1:50" ht="15" customHeight="1" x14ac:dyDescent="0.2">
      <c r="B111" s="43" t="s">
        <v>117</v>
      </c>
      <c r="C111" s="44">
        <v>2830.81</v>
      </c>
      <c r="D111" s="44">
        <v>2996.2440000000001</v>
      </c>
      <c r="E111" s="44">
        <v>2982.7330000000002</v>
      </c>
      <c r="F111" s="44">
        <v>2885.585</v>
      </c>
      <c r="G111" s="44">
        <v>2888.4549999999999</v>
      </c>
      <c r="H111" s="44">
        <v>2773.8229999999999</v>
      </c>
      <c r="I111" s="44">
        <v>2884.32</v>
      </c>
      <c r="J111" s="44">
        <v>2883.6410000000001</v>
      </c>
      <c r="K111" s="44">
        <v>2849.6840000000002</v>
      </c>
      <c r="L111" s="44">
        <v>3065.8809999999999</v>
      </c>
      <c r="M111" s="44">
        <v>3208.2350000000001</v>
      </c>
      <c r="N111" s="44">
        <v>3392.2379999999998</v>
      </c>
      <c r="O111" s="44">
        <v>3665.16</v>
      </c>
      <c r="P111" s="44">
        <v>3747.73</v>
      </c>
      <c r="Q111" s="44">
        <v>3944.578</v>
      </c>
      <c r="R111" s="44">
        <v>3991.5329999999999</v>
      </c>
      <c r="S111" s="44">
        <v>3957.6469999999999</v>
      </c>
      <c r="T111" s="44">
        <v>4129.6210000000001</v>
      </c>
      <c r="U111" s="44">
        <v>4430.8040000000001</v>
      </c>
      <c r="V111" s="44">
        <v>4260.2610000000004</v>
      </c>
      <c r="W111" s="44">
        <v>4455.0550000000003</v>
      </c>
      <c r="X111" s="44">
        <v>4697.42</v>
      </c>
      <c r="Y111" s="44">
        <v>4907.5519999999997</v>
      </c>
      <c r="Z111" s="44">
        <v>4907.424</v>
      </c>
      <c r="AA111" s="44">
        <v>4996.6959999999999</v>
      </c>
      <c r="AB111" s="44">
        <v>4955.482</v>
      </c>
      <c r="AC111" s="44">
        <v>5346.2049999999999</v>
      </c>
      <c r="AD111" s="44">
        <v>5479.5439999999999</v>
      </c>
      <c r="AE111" s="44">
        <v>6086.8969999999999</v>
      </c>
      <c r="AF111" s="44">
        <v>5626.0550000000003</v>
      </c>
      <c r="AG111" s="44">
        <v>5661.7860000000001</v>
      </c>
      <c r="AH111" s="44">
        <v>5649.2950000000001</v>
      </c>
      <c r="AI111" s="44">
        <v>5769.5810000000001</v>
      </c>
      <c r="AJ111" s="44">
        <v>6668.8090000000002</v>
      </c>
      <c r="AK111" s="44">
        <v>8561.5390000000007</v>
      </c>
      <c r="AL111" s="44">
        <v>8500.5419999999995</v>
      </c>
      <c r="AM111" s="44">
        <v>8368.6669999999995</v>
      </c>
      <c r="AN111" s="44">
        <v>9366.75</v>
      </c>
      <c r="AO111" s="44">
        <v>9836.6239999999998</v>
      </c>
      <c r="AP111" s="44">
        <v>10610.319</v>
      </c>
      <c r="AQ111" s="44">
        <v>12847.915000000001</v>
      </c>
      <c r="AR111" s="44">
        <v>12035.52</v>
      </c>
      <c r="AS111" s="44">
        <v>13435.368</v>
      </c>
      <c r="AT111" s="44">
        <v>12460.67</v>
      </c>
      <c r="AU111" s="44">
        <v>12241.508</v>
      </c>
      <c r="AV111" s="44">
        <v>12663.147999999999</v>
      </c>
    </row>
    <row r="112" spans="1:50" ht="15" customHeight="1" x14ac:dyDescent="0.2">
      <c r="B112" s="24" t="s">
        <v>118</v>
      </c>
      <c r="C112" s="3">
        <v>519.54700000000003</v>
      </c>
      <c r="D112" s="3">
        <v>604.28899999999999</v>
      </c>
      <c r="E112" s="3">
        <v>460.82799999999997</v>
      </c>
      <c r="F112" s="3">
        <v>511.10700000000003</v>
      </c>
      <c r="G112" s="3">
        <v>498.33600000000001</v>
      </c>
      <c r="H112" s="3">
        <v>469.17</v>
      </c>
      <c r="I112" s="3">
        <v>461.45499999999998</v>
      </c>
      <c r="J112" s="3">
        <v>433.315</v>
      </c>
      <c r="K112" s="3">
        <v>421.767</v>
      </c>
      <c r="L112" s="3">
        <v>512.15099999999995</v>
      </c>
      <c r="M112" s="3">
        <v>525.30799999999999</v>
      </c>
      <c r="N112" s="3">
        <v>582.81299999999999</v>
      </c>
      <c r="O112" s="3">
        <v>675.66</v>
      </c>
      <c r="P112" s="3">
        <v>806.75699999999995</v>
      </c>
      <c r="Q112" s="3">
        <v>855.35</v>
      </c>
      <c r="R112" s="3">
        <v>883.58500000000004</v>
      </c>
      <c r="S112" s="3">
        <v>845.79499999999996</v>
      </c>
      <c r="T112" s="3">
        <v>940.94899999999996</v>
      </c>
      <c r="U112" s="3">
        <v>995.28</v>
      </c>
      <c r="V112" s="3">
        <v>1108.9690000000001</v>
      </c>
      <c r="W112" s="3">
        <v>1009.876</v>
      </c>
      <c r="X112" s="3">
        <v>1145.6099999999999</v>
      </c>
      <c r="Y112" s="3">
        <v>1091.5509999999999</v>
      </c>
      <c r="Z112" s="3">
        <v>1074.885</v>
      </c>
      <c r="AA112" s="3">
        <v>1019.543</v>
      </c>
      <c r="AB112" s="3">
        <v>1106.0450000000001</v>
      </c>
      <c r="AC112" s="3">
        <v>1292.6199999999999</v>
      </c>
      <c r="AD112" s="3">
        <v>1360.922</v>
      </c>
      <c r="AE112" s="3">
        <v>1481.6590000000001</v>
      </c>
      <c r="AF112" s="3">
        <v>1211.7470000000001</v>
      </c>
      <c r="AG112" s="3">
        <v>1148.9390000000001</v>
      </c>
      <c r="AH112" s="3">
        <v>1164.0429999999999</v>
      </c>
      <c r="AI112" s="3">
        <v>1183.7149999999999</v>
      </c>
      <c r="AJ112" s="3">
        <v>1528.8230000000001</v>
      </c>
      <c r="AK112" s="3">
        <v>1610.5889999999999</v>
      </c>
      <c r="AL112" s="3">
        <v>1659.18</v>
      </c>
      <c r="AM112" s="3">
        <v>1644.998</v>
      </c>
      <c r="AN112" s="3">
        <v>2038.6289999999999</v>
      </c>
      <c r="AO112" s="3">
        <v>2028.2439999999999</v>
      </c>
      <c r="AP112" s="3">
        <v>2364.5549999999998</v>
      </c>
      <c r="AQ112" s="3">
        <v>3194.837</v>
      </c>
      <c r="AR112" s="3">
        <v>2863.7689999999998</v>
      </c>
      <c r="AS112" s="3">
        <v>3004.8710000000001</v>
      </c>
      <c r="AT112" s="3">
        <v>2922.511</v>
      </c>
      <c r="AU112" s="3">
        <v>2903.4319999999998</v>
      </c>
      <c r="AV112" s="3">
        <v>3330.48</v>
      </c>
    </row>
    <row r="113" spans="1:48" ht="15" customHeight="1" x14ac:dyDescent="0.2">
      <c r="B113" s="24" t="s">
        <v>119</v>
      </c>
      <c r="C113" s="3">
        <v>461.34800000000001</v>
      </c>
      <c r="D113" s="3">
        <v>552.14300000000003</v>
      </c>
      <c r="E113" s="3">
        <v>612.83600000000001</v>
      </c>
      <c r="F113" s="3">
        <v>566.28200000000004</v>
      </c>
      <c r="G113" s="3">
        <v>529.53200000000004</v>
      </c>
      <c r="H113" s="3">
        <v>471.68</v>
      </c>
      <c r="I113" s="3">
        <v>421.90100000000001</v>
      </c>
      <c r="J113" s="3">
        <v>515.31600000000003</v>
      </c>
      <c r="K113" s="3">
        <v>423.86</v>
      </c>
      <c r="L113" s="3">
        <v>447.584</v>
      </c>
      <c r="M113" s="3">
        <v>458.80900000000003</v>
      </c>
      <c r="N113" s="3">
        <v>438.58300000000003</v>
      </c>
      <c r="O113" s="3">
        <v>494.75400000000002</v>
      </c>
      <c r="P113" s="3">
        <v>325.048</v>
      </c>
      <c r="Q113" s="3">
        <v>367.63</v>
      </c>
      <c r="R113" s="3">
        <v>424.88099999999997</v>
      </c>
      <c r="S113" s="3">
        <v>374.43</v>
      </c>
      <c r="T113" s="3">
        <v>316.20800000000003</v>
      </c>
      <c r="U113" s="3">
        <v>425.70499999999998</v>
      </c>
      <c r="V113" s="3">
        <v>485.803</v>
      </c>
      <c r="W113" s="3">
        <v>649.00900000000001</v>
      </c>
      <c r="X113" s="3">
        <v>613.26499999999999</v>
      </c>
      <c r="Y113" s="3">
        <v>728.50400000000002</v>
      </c>
      <c r="Z113" s="3">
        <v>727.51099999999997</v>
      </c>
      <c r="AA113" s="3">
        <v>655.33500000000004</v>
      </c>
      <c r="AB113" s="3">
        <v>698.23099999999999</v>
      </c>
      <c r="AC113" s="3">
        <v>801.33</v>
      </c>
      <c r="AD113" s="3">
        <v>821.73400000000004</v>
      </c>
      <c r="AE113" s="3">
        <v>1078.3389999999999</v>
      </c>
      <c r="AF113" s="3">
        <v>942.84</v>
      </c>
      <c r="AG113" s="3">
        <v>904.79700000000003</v>
      </c>
      <c r="AH113" s="3">
        <v>826.40599999999995</v>
      </c>
      <c r="AI113" s="3">
        <v>840.18100000000004</v>
      </c>
      <c r="AJ113" s="3">
        <v>1009.415</v>
      </c>
      <c r="AK113" s="3">
        <v>1025.732</v>
      </c>
      <c r="AL113" s="3">
        <v>1056.413</v>
      </c>
      <c r="AM113" s="3">
        <v>865.36800000000005</v>
      </c>
      <c r="AN113" s="3">
        <f>605.081+110.508</f>
        <v>715.58900000000006</v>
      </c>
      <c r="AO113" s="3">
        <f>598.802+127.748</f>
        <v>726.55000000000007</v>
      </c>
      <c r="AP113" s="3">
        <f>647.812+139.053</f>
        <v>786.86500000000001</v>
      </c>
      <c r="AQ113" s="3">
        <f>783.6+178.323</f>
        <v>961.923</v>
      </c>
      <c r="AR113" s="3">
        <f>740.233+155.621</f>
        <v>895.85399999999993</v>
      </c>
      <c r="AS113" s="3">
        <f>537.246+183.738</f>
        <v>720.98399999999992</v>
      </c>
      <c r="AT113" s="3">
        <f>542.341+203.866</f>
        <v>746.20699999999999</v>
      </c>
      <c r="AU113" s="3">
        <f>583.766+183.372</f>
        <v>767.13799999999992</v>
      </c>
      <c r="AV113" s="3">
        <f>407.897+212.591</f>
        <v>620.48800000000006</v>
      </c>
    </row>
    <row r="114" spans="1:48" ht="15" customHeight="1" x14ac:dyDescent="0.2">
      <c r="B114" s="24" t="s">
        <v>120</v>
      </c>
      <c r="C114" s="3">
        <v>64.379000000000005</v>
      </c>
      <c r="D114" s="3">
        <v>65.715999999999994</v>
      </c>
      <c r="E114" s="3">
        <v>69.905000000000001</v>
      </c>
      <c r="F114" s="3">
        <v>48.415999999999997</v>
      </c>
      <c r="G114" s="3">
        <v>35.996000000000002</v>
      </c>
      <c r="H114" s="3">
        <v>40.646000000000001</v>
      </c>
      <c r="I114" s="3">
        <v>96.156000000000006</v>
      </c>
      <c r="J114" s="3">
        <v>19.606000000000002</v>
      </c>
      <c r="K114" s="3">
        <v>48.033999999999999</v>
      </c>
      <c r="L114" s="3">
        <v>27.7</v>
      </c>
      <c r="M114" s="3">
        <v>14.680999999999999</v>
      </c>
      <c r="N114" s="3">
        <v>15.896000000000001</v>
      </c>
      <c r="O114" s="3">
        <v>15.486000000000001</v>
      </c>
      <c r="P114" s="3">
        <v>84.843999999999994</v>
      </c>
      <c r="Q114" s="3">
        <v>27.033000000000001</v>
      </c>
      <c r="R114" s="3">
        <v>53.314999999999998</v>
      </c>
      <c r="S114" s="3">
        <v>55.892000000000003</v>
      </c>
      <c r="T114" s="3">
        <v>112.789</v>
      </c>
      <c r="U114" s="3">
        <v>78.906000000000006</v>
      </c>
      <c r="V114" s="3">
        <v>90.421000000000006</v>
      </c>
      <c r="W114" s="3">
        <v>105.229</v>
      </c>
      <c r="X114" s="3">
        <v>297.66199999999998</v>
      </c>
      <c r="Y114" s="3">
        <v>223.61600000000001</v>
      </c>
      <c r="Z114" s="3">
        <v>255.12</v>
      </c>
      <c r="AA114" s="3">
        <v>354.79199999999997</v>
      </c>
      <c r="AB114" s="3">
        <v>389.702</v>
      </c>
      <c r="AC114" s="3">
        <v>335.23700000000002</v>
      </c>
      <c r="AD114" s="3">
        <v>339.98700000000002</v>
      </c>
      <c r="AE114" s="3">
        <v>310.113</v>
      </c>
      <c r="AF114" s="3">
        <v>272.07</v>
      </c>
      <c r="AG114" s="3">
        <v>244.761</v>
      </c>
      <c r="AH114" s="3">
        <v>252.11500000000001</v>
      </c>
      <c r="AI114" s="3">
        <v>227.74</v>
      </c>
      <c r="AJ114" s="3">
        <v>251.55</v>
      </c>
      <c r="AK114" s="3">
        <v>219.93</v>
      </c>
      <c r="AL114" s="3">
        <v>237.58199999999999</v>
      </c>
      <c r="AM114" s="3">
        <v>249.286</v>
      </c>
      <c r="AN114" s="3">
        <v>464.10399999999998</v>
      </c>
      <c r="AO114" s="3">
        <v>431.80200000000002</v>
      </c>
      <c r="AP114" s="3">
        <v>412.03100000000001</v>
      </c>
      <c r="AQ114" s="3">
        <v>348.18599999999998</v>
      </c>
      <c r="AR114" s="3">
        <v>222.327</v>
      </c>
      <c r="AS114" s="3">
        <v>97.45</v>
      </c>
      <c r="AT114" s="3">
        <v>111.151</v>
      </c>
      <c r="AU114" s="3">
        <v>69.896000000000001</v>
      </c>
      <c r="AV114" s="3">
        <v>215.458</v>
      </c>
    </row>
    <row r="115" spans="1:48" ht="15" customHeight="1" x14ac:dyDescent="0.2">
      <c r="B115" s="24" t="s">
        <v>121</v>
      </c>
      <c r="C115" s="3">
        <v>1421.0550000000001</v>
      </c>
      <c r="D115" s="3">
        <v>1342.723</v>
      </c>
      <c r="E115" s="3">
        <v>1403.489</v>
      </c>
      <c r="F115" s="3">
        <v>1383.4010000000001</v>
      </c>
      <c r="G115" s="3">
        <v>1431.3040000000001</v>
      </c>
      <c r="H115" s="3">
        <v>1443.9079999999999</v>
      </c>
      <c r="I115" s="3">
        <v>1563.886</v>
      </c>
      <c r="J115" s="3">
        <v>1576.6320000000001</v>
      </c>
      <c r="K115" s="3">
        <v>1581.434</v>
      </c>
      <c r="L115" s="3">
        <v>1682.6790000000001</v>
      </c>
      <c r="M115" s="3">
        <v>1747.1130000000001</v>
      </c>
      <c r="N115" s="3">
        <v>1764.4459999999999</v>
      </c>
      <c r="O115" s="3">
        <v>1845.0519999999999</v>
      </c>
      <c r="P115" s="3">
        <v>1887.606</v>
      </c>
      <c r="Q115" s="3">
        <v>1992.278</v>
      </c>
      <c r="R115" s="3">
        <v>1956.4</v>
      </c>
      <c r="S115" s="3">
        <v>1995.48</v>
      </c>
      <c r="T115" s="3">
        <v>2111.2649999999999</v>
      </c>
      <c r="U115" s="3">
        <v>2250.4169999999999</v>
      </c>
      <c r="V115" s="3">
        <v>1980.6690000000001</v>
      </c>
      <c r="W115" s="3">
        <v>1994.5360000000001</v>
      </c>
      <c r="X115" s="3">
        <v>1922.1969999999999</v>
      </c>
      <c r="Y115" s="3">
        <v>2081.6849999999999</v>
      </c>
      <c r="Z115" s="3">
        <v>2096.1689999999999</v>
      </c>
      <c r="AA115" s="3">
        <v>2193.1610000000001</v>
      </c>
      <c r="AB115" s="3">
        <v>1996.0640000000001</v>
      </c>
      <c r="AC115" s="3">
        <v>2067.364</v>
      </c>
      <c r="AD115" s="3">
        <v>2059.1149999999998</v>
      </c>
      <c r="AE115" s="3">
        <v>2120.08</v>
      </c>
      <c r="AF115" s="3">
        <v>2085.1350000000002</v>
      </c>
      <c r="AG115" s="3">
        <v>2167.4969999999998</v>
      </c>
      <c r="AH115" s="3">
        <v>2227.5540000000001</v>
      </c>
      <c r="AI115" s="3">
        <v>2218.3130000000001</v>
      </c>
      <c r="AJ115" s="3">
        <v>2379.4569999999999</v>
      </c>
      <c r="AK115" s="3">
        <v>2416.5459999999998</v>
      </c>
      <c r="AL115" s="3">
        <v>2601.2559999999999</v>
      </c>
      <c r="AM115" s="3">
        <v>2723.4189999999999</v>
      </c>
      <c r="AN115" s="3">
        <v>3008.3139999999999</v>
      </c>
      <c r="AO115" s="3">
        <v>3050.9380000000001</v>
      </c>
      <c r="AP115" s="3">
        <v>3434.0520000000001</v>
      </c>
      <c r="AQ115" s="3">
        <v>4223.5420000000004</v>
      </c>
      <c r="AR115" s="3">
        <v>4424.3950000000004</v>
      </c>
      <c r="AS115" s="3">
        <v>4874.2209999999995</v>
      </c>
      <c r="AT115" s="3">
        <v>5171.0259999999998</v>
      </c>
      <c r="AU115" s="3">
        <v>5391.201</v>
      </c>
      <c r="AV115" s="3">
        <v>5496.87</v>
      </c>
    </row>
    <row r="116" spans="1:48" ht="15" customHeight="1" x14ac:dyDescent="0.2">
      <c r="A116" s="55" t="s">
        <v>164</v>
      </c>
      <c r="B116" s="43" t="s">
        <v>122</v>
      </c>
      <c r="C116" s="44">
        <v>2830.81</v>
      </c>
      <c r="D116" s="44">
        <v>2996.2440000000001</v>
      </c>
      <c r="E116" s="44">
        <v>2982.7330000000002</v>
      </c>
      <c r="F116" s="44">
        <v>2885.585</v>
      </c>
      <c r="G116" s="44">
        <v>2888.4549999999999</v>
      </c>
      <c r="H116" s="44">
        <v>2773.8229999999999</v>
      </c>
      <c r="I116" s="44">
        <v>2884.32</v>
      </c>
      <c r="J116" s="44">
        <v>2883.6410000000001</v>
      </c>
      <c r="K116" s="44">
        <v>2849.6840000000002</v>
      </c>
      <c r="L116" s="44">
        <v>3065.8809999999999</v>
      </c>
      <c r="M116" s="44">
        <v>3208.2350000000001</v>
      </c>
      <c r="N116" s="44">
        <v>3392.2379999999998</v>
      </c>
      <c r="O116" s="44">
        <v>3665.16</v>
      </c>
      <c r="P116" s="44">
        <v>3747.73</v>
      </c>
      <c r="Q116" s="44">
        <v>3944.578</v>
      </c>
      <c r="R116" s="44">
        <v>3991.5329999999999</v>
      </c>
      <c r="S116" s="44">
        <v>3957.6469999999999</v>
      </c>
      <c r="T116" s="44">
        <v>4129.6210000000001</v>
      </c>
      <c r="U116" s="44">
        <v>4430.8040000000001</v>
      </c>
      <c r="V116" s="44">
        <v>4260.2610000000004</v>
      </c>
      <c r="W116" s="44">
        <v>4455.0550000000003</v>
      </c>
      <c r="X116" s="44">
        <v>4697.42</v>
      </c>
      <c r="Y116" s="44">
        <v>4907.5519999999997</v>
      </c>
      <c r="Z116" s="44">
        <v>4907.424</v>
      </c>
      <c r="AA116" s="44">
        <v>4996.6959999999999</v>
      </c>
      <c r="AB116" s="44">
        <v>4955.482</v>
      </c>
      <c r="AC116" s="44">
        <v>5346.2049999999999</v>
      </c>
      <c r="AD116" s="44">
        <v>5479.5439999999999</v>
      </c>
      <c r="AE116" s="44">
        <v>6086.8969999999999</v>
      </c>
      <c r="AF116" s="44">
        <v>5626.0550000000003</v>
      </c>
      <c r="AG116" s="44">
        <v>5661.7860000000001</v>
      </c>
      <c r="AH116" s="44">
        <v>5649.2950000000001</v>
      </c>
      <c r="AI116" s="44">
        <v>5769.5810000000001</v>
      </c>
      <c r="AJ116" s="44">
        <v>6668.8090000000002</v>
      </c>
      <c r="AK116" s="44">
        <v>8561.5390000000007</v>
      </c>
      <c r="AL116" s="44">
        <v>8500.5419999999995</v>
      </c>
      <c r="AM116" s="44">
        <v>8368.6669999999995</v>
      </c>
      <c r="AN116" s="44">
        <v>9366.75</v>
      </c>
      <c r="AO116" s="44">
        <v>9836.6239999999998</v>
      </c>
      <c r="AP116" s="44">
        <v>10610.319</v>
      </c>
      <c r="AQ116" s="44">
        <v>12847.915000000001</v>
      </c>
      <c r="AR116" s="44">
        <v>12035.52</v>
      </c>
      <c r="AS116" s="44">
        <v>13435.368</v>
      </c>
      <c r="AT116" s="44">
        <v>12460.67</v>
      </c>
      <c r="AU116" s="44">
        <v>12241.508</v>
      </c>
      <c r="AV116" s="44">
        <v>12663.147999999999</v>
      </c>
    </row>
    <row r="119" spans="1:48" ht="20.100000000000001" customHeight="1" x14ac:dyDescent="0.2">
      <c r="B119" s="32" t="s">
        <v>154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</row>
    <row r="120" spans="1:48" x14ac:dyDescent="0.2">
      <c r="B120" s="34" t="s">
        <v>65</v>
      </c>
      <c r="C120" s="35" t="s">
        <v>99</v>
      </c>
      <c r="D120" s="35">
        <v>2008</v>
      </c>
      <c r="E120" s="35" t="s">
        <v>100</v>
      </c>
      <c r="F120" s="35" t="s">
        <v>101</v>
      </c>
      <c r="G120" s="35" t="s">
        <v>102</v>
      </c>
      <c r="H120" s="35">
        <v>2009</v>
      </c>
      <c r="I120" s="35" t="s">
        <v>103</v>
      </c>
      <c r="J120" s="35" t="s">
        <v>104</v>
      </c>
      <c r="K120" s="35" t="s">
        <v>105</v>
      </c>
      <c r="L120" s="35">
        <v>2010</v>
      </c>
      <c r="M120" s="35" t="s">
        <v>106</v>
      </c>
      <c r="N120" s="35" t="s">
        <v>107</v>
      </c>
      <c r="O120" s="35" t="s">
        <v>108</v>
      </c>
      <c r="P120" s="35">
        <v>2011</v>
      </c>
      <c r="Q120" s="35" t="s">
        <v>96</v>
      </c>
      <c r="R120" s="35" t="s">
        <v>97</v>
      </c>
      <c r="S120" s="35" t="s">
        <v>98</v>
      </c>
      <c r="T120" s="35">
        <v>2012</v>
      </c>
      <c r="U120" s="35" t="s">
        <v>93</v>
      </c>
      <c r="V120" s="35" t="s">
        <v>94</v>
      </c>
      <c r="W120" s="35" t="s">
        <v>95</v>
      </c>
      <c r="X120" s="35">
        <v>2013</v>
      </c>
      <c r="Y120" s="35" t="s">
        <v>90</v>
      </c>
      <c r="Z120" s="35" t="s">
        <v>91</v>
      </c>
      <c r="AA120" s="35" t="s">
        <v>92</v>
      </c>
      <c r="AB120" s="35">
        <v>2014</v>
      </c>
      <c r="AC120" s="35" t="s">
        <v>87</v>
      </c>
      <c r="AD120" s="35" t="s">
        <v>88</v>
      </c>
      <c r="AE120" s="35" t="s">
        <v>89</v>
      </c>
      <c r="AF120" s="35">
        <v>2015</v>
      </c>
      <c r="AG120" s="35" t="s">
        <v>84</v>
      </c>
      <c r="AH120" s="35" t="s">
        <v>85</v>
      </c>
      <c r="AI120" s="35" t="s">
        <v>86</v>
      </c>
      <c r="AJ120" s="35">
        <v>2016</v>
      </c>
      <c r="AK120" s="35" t="s">
        <v>83</v>
      </c>
      <c r="AL120" s="35" t="s">
        <v>82</v>
      </c>
      <c r="AM120" s="35" t="s">
        <v>81</v>
      </c>
      <c r="AN120" s="35">
        <v>2017</v>
      </c>
      <c r="AO120" s="35" t="s">
        <v>171</v>
      </c>
      <c r="AP120" s="35" t="s">
        <v>174</v>
      </c>
      <c r="AQ120" s="35" t="s">
        <v>176</v>
      </c>
      <c r="AR120" s="35">
        <v>2018</v>
      </c>
      <c r="AS120" s="35" t="s">
        <v>187</v>
      </c>
      <c r="AT120" s="35" t="s">
        <v>189</v>
      </c>
      <c r="AU120" s="35" t="s">
        <v>192</v>
      </c>
      <c r="AV120" s="35">
        <v>2019</v>
      </c>
    </row>
    <row r="121" spans="1:48" ht="15" customHeight="1" x14ac:dyDescent="0.2">
      <c r="B121" s="24" t="s">
        <v>58</v>
      </c>
      <c r="C121" s="3">
        <v>1309.739</v>
      </c>
      <c r="D121" s="3">
        <v>1618.1279999999999</v>
      </c>
      <c r="E121" s="3">
        <v>1721.3050000000001</v>
      </c>
      <c r="F121" s="3">
        <v>1621.16</v>
      </c>
      <c r="G121" s="3">
        <v>1560.587</v>
      </c>
      <c r="H121" s="3">
        <v>1290.396</v>
      </c>
      <c r="I121" s="3">
        <v>1455.5989999999999</v>
      </c>
      <c r="J121" s="3">
        <v>1315.4259999999999</v>
      </c>
      <c r="K121" s="3">
        <v>1237.53</v>
      </c>
      <c r="L121" s="3">
        <v>1307.1179999999999</v>
      </c>
      <c r="M121" s="3">
        <v>1344.1780000000001</v>
      </c>
      <c r="N121" s="3">
        <v>1546.5340000000001</v>
      </c>
      <c r="O121" s="3">
        <v>1779.529</v>
      </c>
      <c r="P121" s="3">
        <v>1829.2139999999999</v>
      </c>
      <c r="Q121" s="3">
        <v>1832.3510000000001</v>
      </c>
      <c r="R121" s="3">
        <v>1926.662</v>
      </c>
      <c r="S121" s="3">
        <v>1979.739</v>
      </c>
      <c r="T121" s="3">
        <v>1997.1379999999999</v>
      </c>
      <c r="U121" s="3">
        <v>2181.3589999999999</v>
      </c>
      <c r="V121" s="3">
        <v>2086.317</v>
      </c>
      <c r="W121" s="3">
        <v>2231.39</v>
      </c>
      <c r="X121" s="3">
        <v>2217.424</v>
      </c>
      <c r="Y121" s="3">
        <v>2241.8670000000002</v>
      </c>
      <c r="Z121" s="3">
        <v>2209.5340000000001</v>
      </c>
      <c r="AA121" s="3">
        <v>2223.5729999999999</v>
      </c>
      <c r="AB121" s="3">
        <v>1977.8969999999999</v>
      </c>
      <c r="AC121" s="3">
        <v>2105.1149999999998</v>
      </c>
      <c r="AD121" s="3">
        <v>2244.9749999999999</v>
      </c>
      <c r="AE121" s="3">
        <v>2642.2910000000002</v>
      </c>
      <c r="AF121" s="3">
        <v>2315.058</v>
      </c>
      <c r="AG121" s="3">
        <v>2173.4459999999999</v>
      </c>
      <c r="AH121" s="3">
        <v>2127.4169999999999</v>
      </c>
      <c r="AI121" s="3">
        <v>2135.5610000000001</v>
      </c>
      <c r="AJ121" s="3">
        <v>2620.96</v>
      </c>
      <c r="AK121" s="3">
        <v>4443.2290000000003</v>
      </c>
      <c r="AL121" s="3">
        <v>4435.1710000000003</v>
      </c>
      <c r="AM121" s="3">
        <v>4254.8289999999997</v>
      </c>
      <c r="AN121" s="3">
        <v>5025.5749999999998</v>
      </c>
      <c r="AO121" s="3">
        <v>5199.5140000000001</v>
      </c>
      <c r="AP121" s="3">
        <v>5870.7830000000004</v>
      </c>
      <c r="AQ121" s="3">
        <v>7183.8530000000001</v>
      </c>
      <c r="AR121" s="3">
        <v>7189.3270000000002</v>
      </c>
      <c r="AS121" s="3">
        <v>7722.5569999999998</v>
      </c>
      <c r="AT121" s="3">
        <v>6787.4030000000002</v>
      </c>
      <c r="AU121" s="3">
        <v>6422.4989999999998</v>
      </c>
      <c r="AV121" s="3">
        <v>7004.9059999999999</v>
      </c>
    </row>
    <row r="122" spans="1:48" ht="15" customHeight="1" x14ac:dyDescent="0.2">
      <c r="B122" s="24" t="s">
        <v>74</v>
      </c>
      <c r="C122" s="3">
        <v>1109.3</v>
      </c>
      <c r="D122" s="3">
        <v>935.76700000000005</v>
      </c>
      <c r="E122" s="3">
        <v>791.95</v>
      </c>
      <c r="F122" s="3">
        <v>791.16499999999996</v>
      </c>
      <c r="G122" s="3">
        <v>822.77300000000002</v>
      </c>
      <c r="H122" s="3">
        <v>738.37699999999995</v>
      </c>
      <c r="I122" s="3">
        <v>836.29600000000005</v>
      </c>
      <c r="J122" s="3">
        <v>817.46900000000005</v>
      </c>
      <c r="K122" s="3">
        <v>870.67399999999998</v>
      </c>
      <c r="L122" s="3">
        <v>939.08900000000006</v>
      </c>
      <c r="M122" s="3">
        <v>1037.923</v>
      </c>
      <c r="N122" s="3">
        <v>926.83299999999997</v>
      </c>
      <c r="O122" s="3">
        <v>966.25300000000004</v>
      </c>
      <c r="P122" s="3">
        <v>975.89</v>
      </c>
      <c r="Q122" s="3">
        <v>1099.491</v>
      </c>
      <c r="R122" s="3">
        <v>1014.798</v>
      </c>
      <c r="S122" s="3">
        <v>997.56600000000003</v>
      </c>
      <c r="T122" s="3">
        <v>988.35</v>
      </c>
      <c r="U122" s="3">
        <v>1067.712</v>
      </c>
      <c r="V122" s="3">
        <v>957.95</v>
      </c>
      <c r="W122" s="3">
        <v>1079.1880000000001</v>
      </c>
      <c r="X122" s="3">
        <v>1312.26</v>
      </c>
      <c r="Y122" s="3">
        <v>1443.508</v>
      </c>
      <c r="Z122" s="3">
        <v>1459.702</v>
      </c>
      <c r="AA122" s="3">
        <v>1611.223</v>
      </c>
      <c r="AB122" s="3">
        <v>1838.653</v>
      </c>
      <c r="AC122" s="3">
        <v>2042.14</v>
      </c>
      <c r="AD122" s="3">
        <v>1814.4480000000001</v>
      </c>
      <c r="AE122" s="3">
        <v>1945.69</v>
      </c>
      <c r="AF122" s="3">
        <v>1840.059</v>
      </c>
      <c r="AG122" s="3">
        <v>1963.4259999999999</v>
      </c>
      <c r="AH122" s="3">
        <v>2016.99</v>
      </c>
      <c r="AI122" s="3">
        <v>2050.6489999999999</v>
      </c>
      <c r="AJ122" s="3">
        <v>2273.2919999999999</v>
      </c>
      <c r="AK122" s="3">
        <v>2367.83</v>
      </c>
      <c r="AL122" s="3">
        <v>2470.826</v>
      </c>
      <c r="AM122" s="3">
        <v>2568.069</v>
      </c>
      <c r="AN122" s="3">
        <v>2774.9580000000001</v>
      </c>
      <c r="AO122" s="3">
        <v>3075.4279999999999</v>
      </c>
      <c r="AP122" s="3">
        <v>2983.61</v>
      </c>
      <c r="AQ122" s="3">
        <v>3552.8969999999999</v>
      </c>
      <c r="AR122" s="59">
        <v>3431.4209999999998</v>
      </c>
      <c r="AS122" s="3">
        <v>3382.8389999999999</v>
      </c>
      <c r="AT122" s="3">
        <v>3320.605</v>
      </c>
      <c r="AU122" s="3">
        <v>3550.6109999999999</v>
      </c>
      <c r="AV122" s="3">
        <v>3786.4490000000001</v>
      </c>
    </row>
    <row r="123" spans="1:48" ht="15" customHeight="1" x14ac:dyDescent="0.2">
      <c r="B123" s="24" t="s">
        <v>75</v>
      </c>
      <c r="C123" s="3">
        <v>36.344000000000001</v>
      </c>
      <c r="D123" s="3">
        <v>33.993000000000002</v>
      </c>
      <c r="E123" s="3">
        <v>35.430999999999997</v>
      </c>
      <c r="F123" s="3">
        <v>36.804000000000002</v>
      </c>
      <c r="G123" s="3">
        <v>34.371000000000002</v>
      </c>
      <c r="H123" s="3">
        <v>31.713000000000001</v>
      </c>
      <c r="I123" s="3">
        <v>28.75</v>
      </c>
      <c r="J123" s="3">
        <v>30.035</v>
      </c>
      <c r="K123" s="3">
        <v>26.149000000000001</v>
      </c>
      <c r="L123" s="3">
        <v>34.768999999999998</v>
      </c>
      <c r="M123" s="3">
        <v>40.433999999999997</v>
      </c>
      <c r="N123" s="3">
        <v>46.402000000000001</v>
      </c>
      <c r="O123" s="3">
        <v>51.204999999999998</v>
      </c>
      <c r="P123" s="3">
        <v>51.197000000000003</v>
      </c>
      <c r="Q123" s="3">
        <v>51.843000000000004</v>
      </c>
      <c r="R123" s="3">
        <v>52.551000000000002</v>
      </c>
      <c r="S123" s="3">
        <v>28.3</v>
      </c>
      <c r="T123" s="3">
        <v>26.202999999999999</v>
      </c>
      <c r="U123" s="3">
        <v>28.422000000000001</v>
      </c>
      <c r="V123" s="3">
        <v>111.024</v>
      </c>
      <c r="W123" s="3">
        <v>118.825</v>
      </c>
      <c r="X123" s="3">
        <v>129.46</v>
      </c>
      <c r="Y123" s="3">
        <v>138.18299999999999</v>
      </c>
      <c r="Z123" s="3">
        <v>146.25899999999999</v>
      </c>
      <c r="AA123" s="3">
        <v>164.76400000000001</v>
      </c>
      <c r="AB123" s="3">
        <v>212.21600000000001</v>
      </c>
      <c r="AC123" s="3">
        <v>243.77799999999999</v>
      </c>
      <c r="AD123" s="3">
        <v>287.97199999999998</v>
      </c>
      <c r="AE123" s="3">
        <v>301.25299999999999</v>
      </c>
      <c r="AF123" s="3">
        <v>326.46199999999999</v>
      </c>
      <c r="AG123" s="3">
        <v>401.387</v>
      </c>
      <c r="AH123" s="3">
        <v>425.85599999999999</v>
      </c>
      <c r="AI123" s="3">
        <v>482.19200000000001</v>
      </c>
      <c r="AJ123" s="3">
        <v>583.59400000000005</v>
      </c>
      <c r="AK123" s="3">
        <v>593.58100000000002</v>
      </c>
      <c r="AL123" s="3">
        <v>449.61399999999998</v>
      </c>
      <c r="AM123" s="3">
        <v>403.66500000000002</v>
      </c>
      <c r="AN123" s="3">
        <v>377.90600000000001</v>
      </c>
      <c r="AO123" s="3">
        <v>384.81099999999998</v>
      </c>
      <c r="AP123" s="3">
        <v>439.04700000000003</v>
      </c>
      <c r="AQ123" s="3">
        <v>437.21499999999997</v>
      </c>
      <c r="AR123" s="59">
        <v>598.12400000000002</v>
      </c>
      <c r="AS123" s="3">
        <v>528.24599999999998</v>
      </c>
      <c r="AT123" s="3">
        <v>492.74700000000001</v>
      </c>
      <c r="AU123" s="3">
        <v>450.553</v>
      </c>
      <c r="AV123" s="73"/>
    </row>
    <row r="124" spans="1:48" ht="15" customHeight="1" x14ac:dyDescent="0.2">
      <c r="B124" s="24" t="s">
        <v>76</v>
      </c>
      <c r="C124" s="3">
        <v>1279.194</v>
      </c>
      <c r="D124" s="3">
        <v>1343.1990000000001</v>
      </c>
      <c r="E124" s="3">
        <v>1417.07</v>
      </c>
      <c r="F124" s="3">
        <v>1366.317</v>
      </c>
      <c r="G124" s="3">
        <v>1379.654</v>
      </c>
      <c r="H124" s="3">
        <v>713.33699999999999</v>
      </c>
      <c r="I124" s="3">
        <v>1341.421</v>
      </c>
      <c r="J124" s="3">
        <v>720.71100000000001</v>
      </c>
      <c r="K124" s="3">
        <v>715.33100000000002</v>
      </c>
      <c r="L124" s="3">
        <v>784.90499999999997</v>
      </c>
      <c r="M124" s="3">
        <v>785.7</v>
      </c>
      <c r="N124" s="3">
        <v>872.46900000000005</v>
      </c>
      <c r="O124" s="3">
        <v>868.173</v>
      </c>
      <c r="P124" s="3">
        <v>891.42899999999997</v>
      </c>
      <c r="Q124" s="3">
        <v>960.89300000000003</v>
      </c>
      <c r="R124" s="3">
        <v>997.52200000000005</v>
      </c>
      <c r="S124" s="3">
        <v>952.04200000000003</v>
      </c>
      <c r="T124" s="3">
        <v>1117.93</v>
      </c>
      <c r="U124" s="3">
        <v>1153.3109999999999</v>
      </c>
      <c r="V124" s="3">
        <v>1104.97</v>
      </c>
      <c r="W124" s="3">
        <v>1025.652</v>
      </c>
      <c r="X124" s="3">
        <v>1038.2760000000001</v>
      </c>
      <c r="Y124" s="3">
        <v>1083.9939999999999</v>
      </c>
      <c r="Z124" s="3">
        <v>1091.9290000000001</v>
      </c>
      <c r="AA124" s="3">
        <v>997.13599999999997</v>
      </c>
      <c r="AB124" s="3">
        <v>926.71600000000001</v>
      </c>
      <c r="AC124" s="3">
        <v>955.17200000000003</v>
      </c>
      <c r="AD124" s="3">
        <v>1132.1489999999999</v>
      </c>
      <c r="AE124" s="3">
        <v>1197.663</v>
      </c>
      <c r="AF124" s="3">
        <v>1144.4760000000001</v>
      </c>
      <c r="AG124" s="3">
        <v>1123.527</v>
      </c>
      <c r="AH124" s="3">
        <v>1079.0319999999999</v>
      </c>
      <c r="AI124" s="3">
        <v>1101.1790000000001</v>
      </c>
      <c r="AJ124" s="3">
        <v>1190.963</v>
      </c>
      <c r="AK124" s="3">
        <v>1156.8989999999999</v>
      </c>
      <c r="AL124" s="3">
        <v>1144.931</v>
      </c>
      <c r="AM124" s="3">
        <v>1142.104</v>
      </c>
      <c r="AN124" s="3">
        <v>1188.3109999999999</v>
      </c>
      <c r="AO124" s="3">
        <v>1176.8710000000001</v>
      </c>
      <c r="AP124" s="3">
        <v>1316.8789999999999</v>
      </c>
      <c r="AQ124" s="3">
        <v>1673.95</v>
      </c>
      <c r="AR124" s="59">
        <v>1414.7719999999999</v>
      </c>
      <c r="AS124" s="3">
        <v>1801.7260000000001</v>
      </c>
      <c r="AT124" s="3">
        <v>1859.915</v>
      </c>
      <c r="AU124" s="3">
        <v>1817.845</v>
      </c>
      <c r="AV124" s="3">
        <v>1871.7929999999999</v>
      </c>
    </row>
    <row r="125" spans="1:48" ht="15" customHeight="1" x14ac:dyDescent="0.2">
      <c r="B125" s="24" t="s">
        <v>159</v>
      </c>
      <c r="C125" s="3">
        <v>-903.76700000000005</v>
      </c>
      <c r="D125" s="3">
        <v>-934.33699999999999</v>
      </c>
      <c r="E125" s="3">
        <v>-983.03</v>
      </c>
      <c r="F125" s="3">
        <v>-929.86099999999999</v>
      </c>
      <c r="G125" s="3">
        <v>-908.93</v>
      </c>
      <c r="H125" s="3" t="s">
        <v>153</v>
      </c>
      <c r="I125" s="3">
        <v>-777.74599999999998</v>
      </c>
      <c r="J125" s="3" t="s">
        <v>153</v>
      </c>
      <c r="K125" s="3" t="s">
        <v>153</v>
      </c>
      <c r="L125" s="3" t="s">
        <v>153</v>
      </c>
      <c r="M125" s="3" t="s">
        <v>153</v>
      </c>
      <c r="N125" s="3" t="s">
        <v>153</v>
      </c>
      <c r="O125" s="3" t="s">
        <v>153</v>
      </c>
      <c r="P125" s="3" t="s">
        <v>153</v>
      </c>
      <c r="Q125" s="3" t="s">
        <v>153</v>
      </c>
      <c r="R125" s="3" t="s">
        <v>153</v>
      </c>
      <c r="S125" s="3" t="s">
        <v>153</v>
      </c>
      <c r="T125" s="3" t="s">
        <v>153</v>
      </c>
      <c r="U125" s="3" t="s">
        <v>153</v>
      </c>
      <c r="V125" s="3" t="s">
        <v>153</v>
      </c>
      <c r="W125" s="3" t="s">
        <v>153</v>
      </c>
      <c r="X125" s="3" t="s">
        <v>153</v>
      </c>
      <c r="Y125" s="3" t="s">
        <v>153</v>
      </c>
      <c r="Z125" s="3" t="s">
        <v>153</v>
      </c>
      <c r="AA125" s="3" t="s">
        <v>153</v>
      </c>
      <c r="AB125" s="3" t="s">
        <v>153</v>
      </c>
      <c r="AC125" s="3" t="s">
        <v>153</v>
      </c>
      <c r="AD125" s="3" t="s">
        <v>153</v>
      </c>
      <c r="AE125" s="3" t="s">
        <v>153</v>
      </c>
      <c r="AF125" s="3" t="s">
        <v>153</v>
      </c>
      <c r="AG125" s="3" t="s">
        <v>153</v>
      </c>
      <c r="AH125" s="3" t="s">
        <v>153</v>
      </c>
      <c r="AI125" s="3" t="s">
        <v>153</v>
      </c>
      <c r="AJ125" s="3" t="s">
        <v>153</v>
      </c>
      <c r="AK125" s="3" t="s">
        <v>153</v>
      </c>
      <c r="AL125" s="3" t="s">
        <v>153</v>
      </c>
      <c r="AM125" s="3" t="s">
        <v>153</v>
      </c>
      <c r="AN125" s="3" t="s">
        <v>153</v>
      </c>
      <c r="AO125" s="3" t="s">
        <v>153</v>
      </c>
      <c r="AP125" s="3" t="s">
        <v>153</v>
      </c>
      <c r="AQ125" s="3" t="s">
        <v>153</v>
      </c>
      <c r="AR125" s="59" t="s">
        <v>153</v>
      </c>
      <c r="AS125" s="3" t="s">
        <v>153</v>
      </c>
      <c r="AT125" s="3" t="s">
        <v>153</v>
      </c>
      <c r="AU125" s="3" t="s">
        <v>153</v>
      </c>
      <c r="AV125" s="3"/>
    </row>
    <row r="126" spans="1:48" ht="15" customHeight="1" x14ac:dyDescent="0.2">
      <c r="B126" s="43" t="s">
        <v>155</v>
      </c>
      <c r="C126" s="44">
        <f>+SUM(C121:C125)</f>
        <v>2830.8099999999995</v>
      </c>
      <c r="D126" s="44">
        <f t="shared" ref="D126:AN126" si="199">+SUM(D121:D125)</f>
        <v>2996.75</v>
      </c>
      <c r="E126" s="44">
        <f t="shared" si="199"/>
        <v>2982.7260000000006</v>
      </c>
      <c r="F126" s="44">
        <f t="shared" si="199"/>
        <v>2885.585</v>
      </c>
      <c r="G126" s="44">
        <f t="shared" si="199"/>
        <v>2888.4550000000004</v>
      </c>
      <c r="H126" s="44">
        <f t="shared" si="199"/>
        <v>2773.8229999999999</v>
      </c>
      <c r="I126" s="44">
        <f t="shared" si="199"/>
        <v>2884.3199999999997</v>
      </c>
      <c r="J126" s="44">
        <f t="shared" si="199"/>
        <v>2883.6409999999996</v>
      </c>
      <c r="K126" s="44">
        <f t="shared" si="199"/>
        <v>2849.6839999999997</v>
      </c>
      <c r="L126" s="44">
        <f t="shared" si="199"/>
        <v>3065.8809999999994</v>
      </c>
      <c r="M126" s="44">
        <f t="shared" si="199"/>
        <v>3208.2350000000006</v>
      </c>
      <c r="N126" s="44">
        <f t="shared" si="199"/>
        <v>3392.2380000000003</v>
      </c>
      <c r="O126" s="44">
        <f t="shared" si="199"/>
        <v>3665.16</v>
      </c>
      <c r="P126" s="44">
        <f t="shared" si="199"/>
        <v>3747.73</v>
      </c>
      <c r="Q126" s="44">
        <f t="shared" si="199"/>
        <v>3944.578</v>
      </c>
      <c r="R126" s="44">
        <f t="shared" si="199"/>
        <v>3991.5329999999999</v>
      </c>
      <c r="S126" s="44">
        <f t="shared" si="199"/>
        <v>3957.6470000000004</v>
      </c>
      <c r="T126" s="44">
        <f t="shared" si="199"/>
        <v>4129.6210000000001</v>
      </c>
      <c r="U126" s="44">
        <f t="shared" si="199"/>
        <v>4430.8040000000001</v>
      </c>
      <c r="V126" s="44">
        <f t="shared" si="199"/>
        <v>4260.2609999999995</v>
      </c>
      <c r="W126" s="44">
        <f t="shared" si="199"/>
        <v>4455.0550000000003</v>
      </c>
      <c r="X126" s="44">
        <f t="shared" si="199"/>
        <v>4697.42</v>
      </c>
      <c r="Y126" s="44">
        <f t="shared" si="199"/>
        <v>4907.5519999999997</v>
      </c>
      <c r="Z126" s="44">
        <f t="shared" si="199"/>
        <v>4907.424</v>
      </c>
      <c r="AA126" s="44">
        <f t="shared" si="199"/>
        <v>4996.6959999999999</v>
      </c>
      <c r="AB126" s="44">
        <f t="shared" si="199"/>
        <v>4955.482</v>
      </c>
      <c r="AC126" s="44">
        <f t="shared" si="199"/>
        <v>5346.2049999999999</v>
      </c>
      <c r="AD126" s="44">
        <f t="shared" si="199"/>
        <v>5479.5439999999999</v>
      </c>
      <c r="AE126" s="44">
        <f t="shared" si="199"/>
        <v>6086.896999999999</v>
      </c>
      <c r="AF126" s="44">
        <f t="shared" si="199"/>
        <v>5626.0550000000003</v>
      </c>
      <c r="AG126" s="44">
        <f t="shared" si="199"/>
        <v>5661.7859999999991</v>
      </c>
      <c r="AH126" s="44">
        <f t="shared" si="199"/>
        <v>5649.2950000000001</v>
      </c>
      <c r="AI126" s="44">
        <f t="shared" si="199"/>
        <v>5769.5810000000001</v>
      </c>
      <c r="AJ126" s="44">
        <f t="shared" si="199"/>
        <v>6668.8090000000002</v>
      </c>
      <c r="AK126" s="44">
        <f t="shared" si="199"/>
        <v>8561.5390000000007</v>
      </c>
      <c r="AL126" s="44">
        <f t="shared" si="199"/>
        <v>8500.5419999999995</v>
      </c>
      <c r="AM126" s="44">
        <f t="shared" si="199"/>
        <v>8368.6669999999995</v>
      </c>
      <c r="AN126" s="44">
        <f t="shared" si="199"/>
        <v>9366.75</v>
      </c>
      <c r="AO126" s="44">
        <v>9836.6239999999998</v>
      </c>
      <c r="AP126" s="44">
        <v>10610.319</v>
      </c>
      <c r="AQ126" s="44">
        <v>12847.915000000001</v>
      </c>
      <c r="AR126" s="75">
        <v>12035.52</v>
      </c>
      <c r="AS126" s="44">
        <v>13435.368</v>
      </c>
      <c r="AT126" s="44">
        <v>12460.67</v>
      </c>
      <c r="AU126" s="44">
        <v>12241.508</v>
      </c>
      <c r="AV126" s="44">
        <v>12663.147999999999</v>
      </c>
    </row>
    <row r="127" spans="1:48" ht="15" customHeight="1" x14ac:dyDescent="0.2">
      <c r="B127" s="24" t="s">
        <v>58</v>
      </c>
      <c r="C127" s="3">
        <v>942.12900000000002</v>
      </c>
      <c r="D127" s="3">
        <v>1197.76</v>
      </c>
      <c r="E127" s="3">
        <v>1248.0309999999999</v>
      </c>
      <c r="F127" s="3">
        <v>1172.116</v>
      </c>
      <c r="G127" s="3">
        <v>1112.097</v>
      </c>
      <c r="H127" s="3">
        <v>977.83100000000002</v>
      </c>
      <c r="I127" s="3">
        <v>1010.377</v>
      </c>
      <c r="J127" s="3">
        <v>968.40099999999995</v>
      </c>
      <c r="K127" s="3">
        <v>908.89499999999998</v>
      </c>
      <c r="L127" s="3">
        <v>950.56899999999996</v>
      </c>
      <c r="M127" s="3">
        <v>994.62</v>
      </c>
      <c r="N127" s="3">
        <v>1164.76</v>
      </c>
      <c r="O127" s="3">
        <v>1323.5160000000001</v>
      </c>
      <c r="P127" s="3">
        <v>1374.181</v>
      </c>
      <c r="Q127" s="3">
        <v>1383.5889999999999</v>
      </c>
      <c r="R127" s="3">
        <v>1461.3140000000001</v>
      </c>
      <c r="S127" s="3">
        <v>1447.7570000000001</v>
      </c>
      <c r="T127" s="3">
        <v>1526.0319999999999</v>
      </c>
      <c r="U127" s="3">
        <v>1658.7840000000001</v>
      </c>
      <c r="V127" s="3">
        <v>1667.97</v>
      </c>
      <c r="W127" s="3">
        <v>1801.3050000000001</v>
      </c>
      <c r="X127" s="3">
        <v>1882.713</v>
      </c>
      <c r="Y127" s="3">
        <v>1870.28</v>
      </c>
      <c r="Z127" s="3">
        <v>1878.153</v>
      </c>
      <c r="AA127" s="3">
        <v>1855.758</v>
      </c>
      <c r="AB127" s="3">
        <v>1842.845</v>
      </c>
      <c r="AC127" s="3">
        <v>1985.9449999999999</v>
      </c>
      <c r="AD127" s="3">
        <v>2092.0940000000001</v>
      </c>
      <c r="AE127" s="3">
        <v>2477.2370000000001</v>
      </c>
      <c r="AF127" s="3">
        <v>2249.3020000000001</v>
      </c>
      <c r="AG127" s="3">
        <v>2056.6039999999998</v>
      </c>
      <c r="AH127" s="3">
        <v>1980.614</v>
      </c>
      <c r="AI127" s="3">
        <v>2030.5709999999999</v>
      </c>
      <c r="AJ127" s="3">
        <v>2432.79</v>
      </c>
      <c r="AK127" s="3">
        <v>4221.402</v>
      </c>
      <c r="AL127" s="3">
        <v>4098.5649999999996</v>
      </c>
      <c r="AM127" s="3">
        <v>3852.3049999999998</v>
      </c>
      <c r="AN127" s="3">
        <v>4424.2520000000004</v>
      </c>
      <c r="AO127" s="3">
        <v>4460.7910000000002</v>
      </c>
      <c r="AP127" s="3">
        <v>5075.0349999999999</v>
      </c>
      <c r="AQ127" s="3">
        <v>6084.2389999999996</v>
      </c>
      <c r="AR127" s="59">
        <v>5756.2330000000002</v>
      </c>
      <c r="AS127" s="3">
        <v>5773.4489999999996</v>
      </c>
      <c r="AT127" s="3">
        <v>5203.1589999999997</v>
      </c>
      <c r="AU127" s="3">
        <v>4656.34</v>
      </c>
      <c r="AV127" s="3">
        <v>5029.9560000000001</v>
      </c>
    </row>
    <row r="128" spans="1:48" ht="15" customHeight="1" x14ac:dyDescent="0.2">
      <c r="B128" s="24" t="s">
        <v>74</v>
      </c>
      <c r="C128" s="3">
        <v>385.31</v>
      </c>
      <c r="D128" s="3">
        <v>396.803</v>
      </c>
      <c r="E128" s="3">
        <v>249.685</v>
      </c>
      <c r="F128" s="3">
        <v>273.14400000000001</v>
      </c>
      <c r="G128" s="3">
        <v>299.649</v>
      </c>
      <c r="H128" s="3">
        <v>249.24700000000001</v>
      </c>
      <c r="I128" s="3">
        <v>275.66699999999997</v>
      </c>
      <c r="J128" s="3">
        <v>248.7</v>
      </c>
      <c r="K128" s="3">
        <v>283.63799999999998</v>
      </c>
      <c r="L128" s="3">
        <v>330.96</v>
      </c>
      <c r="M128" s="3">
        <v>362.351</v>
      </c>
      <c r="N128" s="3">
        <v>350.06599999999997</v>
      </c>
      <c r="O128" s="3">
        <v>371.06200000000001</v>
      </c>
      <c r="P128" s="3">
        <v>359.80799999999999</v>
      </c>
      <c r="Q128" s="3">
        <v>446.14800000000002</v>
      </c>
      <c r="R128" s="3">
        <v>440.274</v>
      </c>
      <c r="S128" s="3">
        <v>405.46699999999998</v>
      </c>
      <c r="T128" s="3">
        <v>368.71600000000001</v>
      </c>
      <c r="U128" s="3">
        <v>419.40600000000001</v>
      </c>
      <c r="V128" s="3">
        <v>432.83300000000003</v>
      </c>
      <c r="W128" s="3">
        <v>457.79700000000003</v>
      </c>
      <c r="X128" s="3">
        <v>652.73900000000003</v>
      </c>
      <c r="Y128" s="3">
        <v>693.33100000000002</v>
      </c>
      <c r="Z128" s="3">
        <v>683.33100000000002</v>
      </c>
      <c r="AA128" s="3">
        <v>729.149</v>
      </c>
      <c r="AB128" s="3">
        <v>831.97900000000004</v>
      </c>
      <c r="AC128" s="3">
        <v>988.02800000000002</v>
      </c>
      <c r="AD128" s="3">
        <v>985.08299999999997</v>
      </c>
      <c r="AE128" s="3">
        <v>1124.828</v>
      </c>
      <c r="AF128" s="3">
        <v>900.899</v>
      </c>
      <c r="AG128" s="3">
        <v>892.86800000000005</v>
      </c>
      <c r="AH128" s="3">
        <v>951.68299999999999</v>
      </c>
      <c r="AI128" s="3">
        <v>964.12400000000002</v>
      </c>
      <c r="AJ128" s="3">
        <v>1129.7049999999999</v>
      </c>
      <c r="AK128" s="3">
        <v>1138.731</v>
      </c>
      <c r="AL128" s="3">
        <v>1238.049</v>
      </c>
      <c r="AM128" s="3">
        <v>1254.6869999999999</v>
      </c>
      <c r="AN128" s="3">
        <v>1379.5070000000001</v>
      </c>
      <c r="AO128" s="3">
        <v>1480.489</v>
      </c>
      <c r="AP128" s="3">
        <v>1531.655</v>
      </c>
      <c r="AQ128" s="3">
        <v>1939.028</v>
      </c>
      <c r="AR128" s="59">
        <v>1631.8510000000001</v>
      </c>
      <c r="AS128" s="3">
        <v>1783.4169999999999</v>
      </c>
      <c r="AT128" s="3">
        <v>1620.1849999999999</v>
      </c>
      <c r="AU128" s="3">
        <v>1803.848</v>
      </c>
      <c r="AV128" s="3">
        <v>1968.3050000000001</v>
      </c>
    </row>
    <row r="129" spans="1:48" ht="15" customHeight="1" x14ac:dyDescent="0.2">
      <c r="B129" s="24" t="s">
        <v>75</v>
      </c>
      <c r="C129" s="3">
        <v>22.082000000000001</v>
      </c>
      <c r="D129" s="3">
        <v>26.204999999999998</v>
      </c>
      <c r="E129" s="3">
        <v>29.882000000000001</v>
      </c>
      <c r="F129" s="3">
        <v>23.748000000000001</v>
      </c>
      <c r="G129" s="3">
        <v>21.454999999999998</v>
      </c>
      <c r="H129" s="3">
        <v>18.062999999999999</v>
      </c>
      <c r="I129" s="3">
        <v>14.342000000000001</v>
      </c>
      <c r="J129" s="3">
        <v>15.231</v>
      </c>
      <c r="K129" s="3">
        <v>11.058999999999999</v>
      </c>
      <c r="L129" s="3">
        <v>19.266999999999999</v>
      </c>
      <c r="M129" s="3">
        <v>23.763999999999999</v>
      </c>
      <c r="N129" s="3">
        <v>28.015999999999998</v>
      </c>
      <c r="O129" s="3">
        <v>30.669</v>
      </c>
      <c r="P129" s="3">
        <v>31.111999999999998</v>
      </c>
      <c r="Q129" s="3">
        <v>29.274999999999999</v>
      </c>
      <c r="R129" s="3">
        <v>31.134</v>
      </c>
      <c r="S129" s="3">
        <v>6.0019999999999998</v>
      </c>
      <c r="T129" s="3">
        <v>4.4370000000000003</v>
      </c>
      <c r="U129" s="3">
        <v>5.36</v>
      </c>
      <c r="V129" s="3">
        <v>83.974000000000004</v>
      </c>
      <c r="W129" s="3">
        <v>92.35</v>
      </c>
      <c r="X129" s="3">
        <v>107.544</v>
      </c>
      <c r="Y129" s="3">
        <v>117.29</v>
      </c>
      <c r="Z129" s="3">
        <v>121.24299999999999</v>
      </c>
      <c r="AA129" s="3">
        <v>138.80099999999999</v>
      </c>
      <c r="AB129" s="3">
        <v>197.434</v>
      </c>
      <c r="AC129" s="3">
        <v>229.589</v>
      </c>
      <c r="AD129" s="3">
        <v>276.07400000000001</v>
      </c>
      <c r="AE129" s="3">
        <v>288.863</v>
      </c>
      <c r="AF129" s="3">
        <v>315.33100000000002</v>
      </c>
      <c r="AG129" s="3">
        <v>393.80500000000001</v>
      </c>
      <c r="AH129" s="3">
        <v>418.94400000000002</v>
      </c>
      <c r="AI129" s="3">
        <v>478.94</v>
      </c>
      <c r="AJ129" s="3">
        <v>598.78300000000002</v>
      </c>
      <c r="AK129" s="3">
        <v>625.73400000000004</v>
      </c>
      <c r="AL129" s="3">
        <v>472.42700000000002</v>
      </c>
      <c r="AM129" s="3">
        <v>432.64499999999998</v>
      </c>
      <c r="AN129" s="3">
        <v>425.94099999999997</v>
      </c>
      <c r="AO129" s="3">
        <v>441.13600000000002</v>
      </c>
      <c r="AP129" s="3">
        <v>409.43</v>
      </c>
      <c r="AQ129" s="3">
        <v>365.24700000000001</v>
      </c>
      <c r="AR129" s="59">
        <v>375.69499999999999</v>
      </c>
      <c r="AS129" s="3">
        <v>299.48099999999999</v>
      </c>
      <c r="AT129" s="3">
        <v>273.221</v>
      </c>
      <c r="AU129" s="3">
        <v>231.16200000000001</v>
      </c>
      <c r="AV129" s="73"/>
    </row>
    <row r="130" spans="1:48" ht="15" customHeight="1" x14ac:dyDescent="0.2">
      <c r="B130" s="24" t="s">
        <v>76</v>
      </c>
      <c r="C130" s="3">
        <v>110.806</v>
      </c>
      <c r="D130" s="3">
        <v>136.99</v>
      </c>
      <c r="E130" s="3">
        <v>179.69</v>
      </c>
      <c r="F130" s="3">
        <v>147.81899999999999</v>
      </c>
      <c r="G130" s="3">
        <v>133.173</v>
      </c>
      <c r="H130" s="3">
        <v>84.774000000000001</v>
      </c>
      <c r="I130" s="3">
        <v>75.259</v>
      </c>
      <c r="J130" s="3">
        <v>74.677000000000007</v>
      </c>
      <c r="K130" s="3">
        <v>64.658000000000001</v>
      </c>
      <c r="L130" s="3">
        <v>82.406000000000006</v>
      </c>
      <c r="M130" s="3">
        <v>80.387</v>
      </c>
      <c r="N130" s="3">
        <v>84.95</v>
      </c>
      <c r="O130" s="3">
        <v>94.861000000000004</v>
      </c>
      <c r="P130" s="3">
        <v>95.022999999999996</v>
      </c>
      <c r="Q130" s="3">
        <v>93.287999999999997</v>
      </c>
      <c r="R130" s="3">
        <v>102.411</v>
      </c>
      <c r="S130" s="3">
        <v>102.941</v>
      </c>
      <c r="T130" s="3">
        <v>119.17100000000001</v>
      </c>
      <c r="U130" s="3">
        <v>96.837000000000003</v>
      </c>
      <c r="V130" s="3">
        <v>94.814999999999998</v>
      </c>
      <c r="W130" s="3">
        <v>109.06699999999999</v>
      </c>
      <c r="X130" s="3">
        <v>132.227</v>
      </c>
      <c r="Y130" s="3">
        <v>144.96600000000001</v>
      </c>
      <c r="Z130" s="3">
        <v>128.52799999999999</v>
      </c>
      <c r="AA130" s="3">
        <v>79.826999999999998</v>
      </c>
      <c r="AB130" s="3">
        <v>87.16</v>
      </c>
      <c r="AC130" s="3">
        <v>75.278999999999996</v>
      </c>
      <c r="AD130" s="3">
        <v>67.177999999999997</v>
      </c>
      <c r="AE130" s="3">
        <v>75.888999999999996</v>
      </c>
      <c r="AF130" s="3">
        <v>75.388000000000005</v>
      </c>
      <c r="AG130" s="3">
        <v>151.012</v>
      </c>
      <c r="AH130" s="3">
        <v>70.5</v>
      </c>
      <c r="AI130" s="3">
        <v>77.632999999999996</v>
      </c>
      <c r="AJ130" s="3">
        <v>128.07400000000001</v>
      </c>
      <c r="AK130" s="3">
        <v>159.126</v>
      </c>
      <c r="AL130" s="3">
        <v>90.245000000000005</v>
      </c>
      <c r="AM130" s="3">
        <v>105.611</v>
      </c>
      <c r="AN130" s="3">
        <v>128.73599999999999</v>
      </c>
      <c r="AO130" s="3">
        <v>403.27</v>
      </c>
      <c r="AP130" s="3">
        <v>160.14699999999999</v>
      </c>
      <c r="AQ130" s="3">
        <v>235.85900000000001</v>
      </c>
      <c r="AR130" s="3">
        <v>223.041</v>
      </c>
      <c r="AS130" s="3">
        <v>704.8</v>
      </c>
      <c r="AT130" s="3">
        <v>193.07900000000001</v>
      </c>
      <c r="AU130" s="3">
        <v>158.95699999999999</v>
      </c>
      <c r="AV130" s="3">
        <v>168.017</v>
      </c>
    </row>
    <row r="131" spans="1:48" ht="15" customHeight="1" x14ac:dyDescent="0.2">
      <c r="B131" s="24" t="s">
        <v>159</v>
      </c>
      <c r="C131" s="3">
        <v>-50.572000000000003</v>
      </c>
      <c r="D131" s="3">
        <v>-103.73099999999999</v>
      </c>
      <c r="E131" s="3">
        <v>-128.04599999999999</v>
      </c>
      <c r="F131" s="3">
        <v>-114.643</v>
      </c>
      <c r="G131" s="3">
        <v>-109.223</v>
      </c>
      <c r="H131" s="3" t="s">
        <v>153</v>
      </c>
      <c r="I131" s="3">
        <v>-55.210999999999999</v>
      </c>
      <c r="J131" s="3" t="s">
        <v>153</v>
      </c>
      <c r="K131" s="3" t="s">
        <v>153</v>
      </c>
      <c r="L131" s="3" t="s">
        <v>153</v>
      </c>
      <c r="M131" s="3" t="s">
        <v>153</v>
      </c>
      <c r="N131" s="3" t="s">
        <v>153</v>
      </c>
      <c r="O131" s="3" t="s">
        <v>153</v>
      </c>
      <c r="P131" s="3" t="s">
        <v>153</v>
      </c>
      <c r="Q131" s="3" t="s">
        <v>153</v>
      </c>
      <c r="R131" s="3" t="s">
        <v>153</v>
      </c>
      <c r="S131" s="3" t="s">
        <v>153</v>
      </c>
      <c r="T131" s="3" t="s">
        <v>153</v>
      </c>
      <c r="U131" s="3" t="s">
        <v>153</v>
      </c>
      <c r="V131" s="3" t="s">
        <v>153</v>
      </c>
      <c r="W131" s="3" t="s">
        <v>153</v>
      </c>
      <c r="X131" s="3" t="s">
        <v>153</v>
      </c>
      <c r="Y131" s="3" t="s">
        <v>153</v>
      </c>
      <c r="Z131" s="3" t="s">
        <v>153</v>
      </c>
      <c r="AA131" s="3" t="s">
        <v>153</v>
      </c>
      <c r="AB131" s="3" t="s">
        <v>153</v>
      </c>
      <c r="AC131" s="3" t="s">
        <v>153</v>
      </c>
      <c r="AD131" s="3" t="s">
        <v>153</v>
      </c>
      <c r="AE131" s="3" t="s">
        <v>153</v>
      </c>
      <c r="AF131" s="3" t="s">
        <v>153</v>
      </c>
      <c r="AG131" s="3" t="s">
        <v>153</v>
      </c>
      <c r="AH131" s="3" t="s">
        <v>153</v>
      </c>
      <c r="AI131" s="3" t="s">
        <v>153</v>
      </c>
      <c r="AJ131" s="3" t="s">
        <v>153</v>
      </c>
      <c r="AK131" s="3" t="s">
        <v>153</v>
      </c>
      <c r="AL131" s="3" t="s">
        <v>153</v>
      </c>
      <c r="AM131" s="3" t="s">
        <v>153</v>
      </c>
      <c r="AN131" s="3" t="s">
        <v>153</v>
      </c>
      <c r="AO131" s="3" t="s">
        <v>153</v>
      </c>
      <c r="AP131" s="3" t="s">
        <v>153</v>
      </c>
      <c r="AQ131" s="3" t="s">
        <v>153</v>
      </c>
      <c r="AR131" s="3" t="s">
        <v>153</v>
      </c>
      <c r="AS131" s="3" t="s">
        <v>153</v>
      </c>
      <c r="AT131" s="3" t="s">
        <v>153</v>
      </c>
      <c r="AU131" s="3" t="s">
        <v>153</v>
      </c>
      <c r="AV131" s="3" t="s">
        <v>153</v>
      </c>
    </row>
    <row r="132" spans="1:48" ht="15" customHeight="1" x14ac:dyDescent="0.2">
      <c r="B132" s="43" t="s">
        <v>156</v>
      </c>
      <c r="C132" s="44">
        <f t="shared" ref="C132:H132" si="200">+SUM(C127:C131)</f>
        <v>1409.7550000000001</v>
      </c>
      <c r="D132" s="44">
        <f t="shared" si="200"/>
        <v>1654.027</v>
      </c>
      <c r="E132" s="44">
        <f t="shared" si="200"/>
        <v>1579.242</v>
      </c>
      <c r="F132" s="44">
        <f t="shared" si="200"/>
        <v>1502.184</v>
      </c>
      <c r="G132" s="44">
        <f t="shared" si="200"/>
        <v>1457.1510000000001</v>
      </c>
      <c r="H132" s="44">
        <f t="shared" si="200"/>
        <v>1329.915</v>
      </c>
      <c r="I132" s="44">
        <f>+SUM(I127:I131)</f>
        <v>1320.434</v>
      </c>
      <c r="J132" s="44">
        <f t="shared" ref="J132:AN132" si="201">+SUM(J127:J131)</f>
        <v>1307.0089999999998</v>
      </c>
      <c r="K132" s="44">
        <f t="shared" si="201"/>
        <v>1268.2499999999998</v>
      </c>
      <c r="L132" s="44">
        <f t="shared" si="201"/>
        <v>1383.202</v>
      </c>
      <c r="M132" s="44">
        <f t="shared" si="201"/>
        <v>1461.1219999999998</v>
      </c>
      <c r="N132" s="44">
        <f t="shared" si="201"/>
        <v>1627.7920000000001</v>
      </c>
      <c r="O132" s="44">
        <f t="shared" si="201"/>
        <v>1820.1080000000002</v>
      </c>
      <c r="P132" s="44">
        <f t="shared" si="201"/>
        <v>1860.124</v>
      </c>
      <c r="Q132" s="44">
        <f t="shared" si="201"/>
        <v>1952.3000000000002</v>
      </c>
      <c r="R132" s="44">
        <f t="shared" si="201"/>
        <v>2035.1330000000003</v>
      </c>
      <c r="S132" s="44">
        <f t="shared" si="201"/>
        <v>1962.1670000000001</v>
      </c>
      <c r="T132" s="44">
        <f t="shared" si="201"/>
        <v>2018.356</v>
      </c>
      <c r="U132" s="44">
        <f t="shared" si="201"/>
        <v>2180.3870000000002</v>
      </c>
      <c r="V132" s="44">
        <f t="shared" si="201"/>
        <v>2279.5920000000001</v>
      </c>
      <c r="W132" s="44">
        <f t="shared" si="201"/>
        <v>2460.5189999999998</v>
      </c>
      <c r="X132" s="44">
        <f t="shared" si="201"/>
        <v>2775.223</v>
      </c>
      <c r="Y132" s="44">
        <f t="shared" si="201"/>
        <v>2825.8669999999997</v>
      </c>
      <c r="Z132" s="44">
        <f t="shared" si="201"/>
        <v>2811.2549999999997</v>
      </c>
      <c r="AA132" s="44">
        <f t="shared" si="201"/>
        <v>2803.5349999999999</v>
      </c>
      <c r="AB132" s="44">
        <f t="shared" si="201"/>
        <v>2959.4180000000001</v>
      </c>
      <c r="AC132" s="44">
        <f t="shared" si="201"/>
        <v>3278.8409999999999</v>
      </c>
      <c r="AD132" s="44">
        <f t="shared" si="201"/>
        <v>3420.4290000000001</v>
      </c>
      <c r="AE132" s="44">
        <f t="shared" si="201"/>
        <v>3966.817</v>
      </c>
      <c r="AF132" s="44">
        <f t="shared" si="201"/>
        <v>3540.92</v>
      </c>
      <c r="AG132" s="44">
        <f t="shared" si="201"/>
        <v>3494.2889999999998</v>
      </c>
      <c r="AH132" s="44">
        <f t="shared" si="201"/>
        <v>3421.741</v>
      </c>
      <c r="AI132" s="44">
        <f t="shared" si="201"/>
        <v>3551.2679999999996</v>
      </c>
      <c r="AJ132" s="44">
        <f t="shared" si="201"/>
        <v>4289.3519999999999</v>
      </c>
      <c r="AK132" s="44">
        <f t="shared" si="201"/>
        <v>6144.9930000000004</v>
      </c>
      <c r="AL132" s="44">
        <f t="shared" si="201"/>
        <v>5899.2859999999991</v>
      </c>
      <c r="AM132" s="44">
        <f t="shared" si="201"/>
        <v>5645.2480000000005</v>
      </c>
      <c r="AN132" s="44">
        <f t="shared" si="201"/>
        <v>6358.4359999999997</v>
      </c>
      <c r="AO132" s="44">
        <v>6785.6859999999997</v>
      </c>
      <c r="AP132" s="44">
        <v>7176.2669999999998</v>
      </c>
      <c r="AQ132" s="44">
        <v>8624.3729999999996</v>
      </c>
      <c r="AR132" s="44">
        <v>7611.125</v>
      </c>
      <c r="AS132" s="44">
        <v>8561.1470000000008</v>
      </c>
      <c r="AT132" s="44">
        <v>7289.6440000000002</v>
      </c>
      <c r="AU132" s="44">
        <v>6850.3069999999998</v>
      </c>
      <c r="AV132" s="44">
        <v>7166.2780000000002</v>
      </c>
    </row>
    <row r="133" spans="1:48" ht="15" customHeight="1" x14ac:dyDescent="0.2">
      <c r="B133" s="24" t="s">
        <v>58</v>
      </c>
      <c r="C133" s="3">
        <v>364.05</v>
      </c>
      <c r="D133" s="3">
        <v>420.36799999999999</v>
      </c>
      <c r="E133" s="3">
        <v>477.863</v>
      </c>
      <c r="F133" s="3">
        <v>431.56599999999997</v>
      </c>
      <c r="G133" s="3">
        <v>431.35899999999998</v>
      </c>
      <c r="H133" s="3">
        <v>229.25299999999999</v>
      </c>
      <c r="I133" s="3">
        <v>420.98899999999998</v>
      </c>
      <c r="J133" s="3">
        <v>266.18799999999999</v>
      </c>
      <c r="K133" s="3">
        <v>245.93600000000001</v>
      </c>
      <c r="L133" s="3">
        <v>269.85300000000001</v>
      </c>
      <c r="M133" s="3">
        <v>258.16199999999998</v>
      </c>
      <c r="N133" s="3">
        <v>275.60399999999998</v>
      </c>
      <c r="O133" s="3">
        <v>343.791</v>
      </c>
      <c r="P133" s="3">
        <v>372.83</v>
      </c>
      <c r="Q133" s="3">
        <v>378.238</v>
      </c>
      <c r="R133" s="3">
        <v>376.392</v>
      </c>
      <c r="S133" s="3">
        <v>415.10500000000002</v>
      </c>
      <c r="T133" s="3">
        <v>357.666</v>
      </c>
      <c r="U133" s="3">
        <v>391.35500000000002</v>
      </c>
      <c r="V133" s="3">
        <v>257.72399999999999</v>
      </c>
      <c r="W133" s="3">
        <v>247.89400000000001</v>
      </c>
      <c r="X133" s="3">
        <v>143.702</v>
      </c>
      <c r="Y133" s="3">
        <v>161.809</v>
      </c>
      <c r="Z133" s="3">
        <v>167.071</v>
      </c>
      <c r="AA133" s="3">
        <v>200.16399999999999</v>
      </c>
      <c r="AB133" s="3">
        <v>-66.787000000000006</v>
      </c>
      <c r="AC133" s="3">
        <v>-95.915999999999997</v>
      </c>
      <c r="AD133" s="3">
        <v>-98.709000000000003</v>
      </c>
      <c r="AE133" s="3">
        <v>-111.693</v>
      </c>
      <c r="AF133" s="3">
        <v>-139.328</v>
      </c>
      <c r="AG133" s="3">
        <v>-125.068</v>
      </c>
      <c r="AH133" s="3">
        <v>-116.92</v>
      </c>
      <c r="AI133" s="3">
        <v>-169.268</v>
      </c>
      <c r="AJ133" s="3">
        <v>-133.072</v>
      </c>
      <c r="AK133" s="3">
        <v>-131.31399999999999</v>
      </c>
      <c r="AL133" s="3">
        <v>-4.2930000000000001</v>
      </c>
      <c r="AM133" s="3">
        <v>52.386000000000003</v>
      </c>
      <c r="AN133" s="3">
        <v>219.136</v>
      </c>
      <c r="AO133" s="3">
        <v>322.52499999999998</v>
      </c>
      <c r="AP133" s="3">
        <v>484.423</v>
      </c>
      <c r="AQ133" s="3">
        <v>738.39200000000005</v>
      </c>
      <c r="AR133" s="3">
        <v>959.375</v>
      </c>
      <c r="AS133" s="3">
        <v>1360.539</v>
      </c>
      <c r="AT133" s="3">
        <v>1560.98</v>
      </c>
      <c r="AU133" s="3">
        <v>1760.5060000000001</v>
      </c>
      <c r="AV133" s="3">
        <v>1668.6469999999999</v>
      </c>
    </row>
    <row r="134" spans="1:48" ht="15" customHeight="1" x14ac:dyDescent="0.2">
      <c r="B134" s="24" t="s">
        <v>74</v>
      </c>
      <c r="C134" s="3">
        <v>727.80600000000004</v>
      </c>
      <c r="D134" s="3">
        <v>538.96500000000003</v>
      </c>
      <c r="E134" s="3">
        <v>544.10500000000002</v>
      </c>
      <c r="F134" s="3">
        <v>526.35699999999997</v>
      </c>
      <c r="G134" s="3">
        <v>540.89499999999998</v>
      </c>
      <c r="H134" s="3">
        <v>29.783999999999999</v>
      </c>
      <c r="I134" s="3">
        <v>600.85699999999997</v>
      </c>
      <c r="J134" s="3">
        <v>110.43</v>
      </c>
      <c r="K134" s="3">
        <v>127.619</v>
      </c>
      <c r="L134" s="3">
        <v>150.73099999999999</v>
      </c>
      <c r="M134" s="3">
        <v>218.93100000000001</v>
      </c>
      <c r="N134" s="3">
        <v>256.88</v>
      </c>
      <c r="O134" s="3">
        <v>276.36599999999999</v>
      </c>
      <c r="P134" s="3">
        <v>283.32400000000001</v>
      </c>
      <c r="Q134" s="3">
        <v>325.536</v>
      </c>
      <c r="R134" s="3">
        <v>359.05799999999999</v>
      </c>
      <c r="S134" s="3">
        <v>369.18299999999999</v>
      </c>
      <c r="T134" s="3">
        <v>391.80399999999997</v>
      </c>
      <c r="U134" s="3">
        <v>442.83699999999999</v>
      </c>
      <c r="V134" s="3">
        <v>423.613</v>
      </c>
      <c r="W134" s="3">
        <v>422.98399999999998</v>
      </c>
      <c r="X134" s="3">
        <v>451.50900000000001</v>
      </c>
      <c r="Y134" s="3">
        <v>550.49300000000005</v>
      </c>
      <c r="Z134" s="3">
        <v>556.44600000000003</v>
      </c>
      <c r="AA134" s="3">
        <v>591.09</v>
      </c>
      <c r="AB134" s="3">
        <v>657.31799999999998</v>
      </c>
      <c r="AC134" s="3">
        <v>705.01400000000001</v>
      </c>
      <c r="AD134" s="3">
        <v>721.88599999999997</v>
      </c>
      <c r="AE134" s="3">
        <v>703.50099999999998</v>
      </c>
      <c r="AF134" s="3">
        <v>732.9</v>
      </c>
      <c r="AG134" s="3">
        <v>834.86099999999999</v>
      </c>
      <c r="AH134" s="3">
        <v>887.67399999999998</v>
      </c>
      <c r="AI134" s="3">
        <v>897.78899999999999</v>
      </c>
      <c r="AJ134" s="3">
        <v>868.149</v>
      </c>
      <c r="AK134" s="3">
        <v>946.226</v>
      </c>
      <c r="AL134" s="3">
        <v>1015.157</v>
      </c>
      <c r="AM134" s="3">
        <v>1088.828</v>
      </c>
      <c r="AN134" s="3">
        <v>1181.9190000000001</v>
      </c>
      <c r="AO134" s="3">
        <v>1259.877</v>
      </c>
      <c r="AP134" s="3">
        <v>1357.7360000000001</v>
      </c>
      <c r="AQ134" s="3">
        <v>1521.5250000000001</v>
      </c>
      <c r="AR134" s="3">
        <v>1653.4079999999999</v>
      </c>
      <c r="AS134" s="3">
        <v>1751.91</v>
      </c>
      <c r="AT134" s="3">
        <v>1877.348</v>
      </c>
      <c r="AU134" s="3">
        <v>1916.893</v>
      </c>
      <c r="AV134" s="3">
        <v>1976.98</v>
      </c>
    </row>
    <row r="135" spans="1:48" ht="15" customHeight="1" x14ac:dyDescent="0.2">
      <c r="B135" s="24" t="s">
        <v>75</v>
      </c>
      <c r="C135" s="3">
        <v>14.262</v>
      </c>
      <c r="D135" s="3">
        <v>7.7889999999999997</v>
      </c>
      <c r="E135" s="3">
        <v>5.5490000000000004</v>
      </c>
      <c r="F135" s="3">
        <v>13.054</v>
      </c>
      <c r="G135" s="3">
        <v>12.914</v>
      </c>
      <c r="H135" s="3">
        <v>-0.04</v>
      </c>
      <c r="I135" s="3">
        <v>15.066000000000001</v>
      </c>
      <c r="J135" s="3">
        <v>0.1</v>
      </c>
      <c r="K135" s="3">
        <v>0.54400000000000004</v>
      </c>
      <c r="L135" s="3">
        <v>1.5509999999999999</v>
      </c>
      <c r="M135" s="3">
        <v>2.7090000000000001</v>
      </c>
      <c r="N135" s="3">
        <v>4.1130000000000004</v>
      </c>
      <c r="O135" s="3">
        <v>6.74</v>
      </c>
      <c r="P135" s="3">
        <v>19.832999999999998</v>
      </c>
      <c r="Q135" s="3">
        <v>8.8350000000000009</v>
      </c>
      <c r="R135" s="3">
        <v>20.148</v>
      </c>
      <c r="S135" s="3">
        <v>21.597000000000001</v>
      </c>
      <c r="T135" s="3">
        <v>21.42</v>
      </c>
      <c r="U135" s="3">
        <v>22.542999999999999</v>
      </c>
      <c r="V135" s="3">
        <v>20.571999999999999</v>
      </c>
      <c r="W135" s="3">
        <v>20.323</v>
      </c>
      <c r="X135" s="3">
        <v>20.295000000000002</v>
      </c>
      <c r="Y135" s="3">
        <v>20.356000000000002</v>
      </c>
      <c r="Z135" s="3">
        <v>19.971</v>
      </c>
      <c r="AA135" s="3">
        <v>18.503</v>
      </c>
      <c r="AB135" s="3">
        <v>15.773</v>
      </c>
      <c r="AC135" s="3">
        <v>15.339</v>
      </c>
      <c r="AD135" s="3">
        <v>14.701000000000001</v>
      </c>
      <c r="AE135" s="3">
        <v>14.888999999999999</v>
      </c>
      <c r="AF135" s="3">
        <v>13.708</v>
      </c>
      <c r="AG135" s="3">
        <v>11.598000000000001</v>
      </c>
      <c r="AH135" s="3">
        <v>7.8220000000000001</v>
      </c>
      <c r="AI135" s="3">
        <v>5.84</v>
      </c>
      <c r="AJ135" s="3">
        <v>12.97</v>
      </c>
      <c r="AK135" s="3">
        <v>13.404999999999999</v>
      </c>
      <c r="AL135" s="3">
        <v>24.048999999999999</v>
      </c>
      <c r="AM135" s="3">
        <v>12.39</v>
      </c>
      <c r="AN135" s="3">
        <v>-1.196</v>
      </c>
      <c r="AO135" s="3">
        <v>-13.865</v>
      </c>
      <c r="AP135" s="3">
        <v>-24.445</v>
      </c>
      <c r="AQ135" s="3">
        <v>-30.85</v>
      </c>
      <c r="AR135" s="3">
        <v>-30.148</v>
      </c>
      <c r="AS135" s="3">
        <v>-24.254999999999999</v>
      </c>
      <c r="AT135" s="3">
        <v>-31.986000000000001</v>
      </c>
      <c r="AU135" s="3">
        <v>-30.754000000000001</v>
      </c>
      <c r="AV135" s="73"/>
    </row>
    <row r="136" spans="1:48" ht="15" customHeight="1" x14ac:dyDescent="0.2">
      <c r="B136" s="24" t="s">
        <v>76</v>
      </c>
      <c r="C136" s="3">
        <v>1168.133</v>
      </c>
      <c r="D136" s="3">
        <v>1206.211</v>
      </c>
      <c r="E136" s="3">
        <v>1230.96</v>
      </c>
      <c r="F136" s="3">
        <v>1227.6420000000001</v>
      </c>
      <c r="G136" s="3">
        <v>1245.8430000000001</v>
      </c>
      <c r="H136" s="3">
        <v>1166.001</v>
      </c>
      <c r="I136" s="3">
        <v>1316.3920000000001</v>
      </c>
      <c r="J136" s="3">
        <v>1180.4659999999999</v>
      </c>
      <c r="K136" s="3">
        <v>1189.085</v>
      </c>
      <c r="L136" s="3">
        <v>1241.5899999999999</v>
      </c>
      <c r="M136" s="3">
        <v>1248.671</v>
      </c>
      <c r="N136" s="3">
        <v>1208.26</v>
      </c>
      <c r="O136" s="3">
        <v>1196.55</v>
      </c>
      <c r="P136" s="3">
        <v>1180.933</v>
      </c>
      <c r="Q136" s="3">
        <v>1250.8309999999999</v>
      </c>
      <c r="R136" s="3">
        <v>1170.3710000000001</v>
      </c>
      <c r="S136" s="3">
        <v>1160.6880000000001</v>
      </c>
      <c r="T136" s="3">
        <v>1310.5899999999999</v>
      </c>
      <c r="U136" s="3">
        <v>1367.163</v>
      </c>
      <c r="V136" s="3">
        <v>1250.0930000000001</v>
      </c>
      <c r="W136" s="3">
        <v>1272.905</v>
      </c>
      <c r="X136" s="3">
        <v>1274.6479999999999</v>
      </c>
      <c r="Y136" s="3">
        <v>1316.0840000000001</v>
      </c>
      <c r="Z136" s="3">
        <v>1320.7950000000001</v>
      </c>
      <c r="AA136" s="3">
        <v>1349.222</v>
      </c>
      <c r="AB136" s="3">
        <v>1352.8610000000001</v>
      </c>
      <c r="AC136" s="3">
        <v>1410.723</v>
      </c>
      <c r="AD136" s="3">
        <v>1386.7729999999999</v>
      </c>
      <c r="AE136" s="3">
        <v>1474.376</v>
      </c>
      <c r="AF136" s="3">
        <v>1450.078</v>
      </c>
      <c r="AG136" s="3">
        <v>1417.8219999999999</v>
      </c>
      <c r="AH136" s="3">
        <v>1424.0319999999999</v>
      </c>
      <c r="AI136" s="3">
        <v>1457.806</v>
      </c>
      <c r="AJ136" s="3">
        <v>1601.634</v>
      </c>
      <c r="AK136" s="3">
        <v>1557.5719999999999</v>
      </c>
      <c r="AL136" s="3">
        <v>1535.9359999999999</v>
      </c>
      <c r="AM136" s="3">
        <v>1538.8430000000001</v>
      </c>
      <c r="AN136" s="3">
        <v>1575.8579999999999</v>
      </c>
      <c r="AO136" s="3">
        <v>1440.269</v>
      </c>
      <c r="AP136" s="3">
        <v>1568.942</v>
      </c>
      <c r="AQ136" s="3">
        <v>1936.0029999999999</v>
      </c>
      <c r="AR136" s="3">
        <v>1784.952</v>
      </c>
      <c r="AS136" s="3">
        <v>1727.7049999999999</v>
      </c>
      <c r="AT136" s="3">
        <v>1718.971</v>
      </c>
      <c r="AU136" s="3">
        <v>1699.0640000000001</v>
      </c>
      <c r="AV136" s="3">
        <v>1783.0530000000001</v>
      </c>
    </row>
    <row r="137" spans="1:48" ht="15" customHeight="1" x14ac:dyDescent="0.2">
      <c r="B137" s="24" t="s">
        <v>159</v>
      </c>
      <c r="C137" s="3">
        <v>-869.31</v>
      </c>
      <c r="D137" s="3">
        <v>-849.86099999999999</v>
      </c>
      <c r="E137" s="3">
        <v>-875.93</v>
      </c>
      <c r="F137" s="3" t="s">
        <v>153</v>
      </c>
      <c r="G137" s="3">
        <v>-818.38400000000001</v>
      </c>
      <c r="H137" s="3" t="s">
        <v>153</v>
      </c>
      <c r="I137" s="3">
        <v>-808.46900000000005</v>
      </c>
      <c r="J137" s="3" t="s">
        <v>153</v>
      </c>
      <c r="K137" s="3" t="s">
        <v>153</v>
      </c>
      <c r="L137" s="3" t="s">
        <v>153</v>
      </c>
      <c r="M137" s="3" t="s">
        <v>153</v>
      </c>
      <c r="N137" s="3" t="s">
        <v>153</v>
      </c>
      <c r="O137" s="3" t="s">
        <v>153</v>
      </c>
      <c r="P137" s="3" t="s">
        <v>153</v>
      </c>
      <c r="Q137" s="3" t="s">
        <v>153</v>
      </c>
      <c r="R137" s="3" t="s">
        <v>153</v>
      </c>
      <c r="S137" s="3" t="s">
        <v>153</v>
      </c>
      <c r="T137" s="3" t="s">
        <v>153</v>
      </c>
      <c r="U137" s="3" t="s">
        <v>153</v>
      </c>
      <c r="V137" s="3" t="s">
        <v>153</v>
      </c>
      <c r="W137" s="3" t="s">
        <v>153</v>
      </c>
      <c r="X137" s="3" t="s">
        <v>153</v>
      </c>
      <c r="Y137" s="3" t="s">
        <v>153</v>
      </c>
      <c r="Z137" s="3" t="s">
        <v>153</v>
      </c>
      <c r="AA137" s="3" t="s">
        <v>153</v>
      </c>
      <c r="AB137" s="3" t="s">
        <v>153</v>
      </c>
      <c r="AC137" s="3" t="s">
        <v>153</v>
      </c>
      <c r="AD137" s="3" t="s">
        <v>153</v>
      </c>
      <c r="AE137" s="3" t="s">
        <v>153</v>
      </c>
      <c r="AF137" s="3" t="s">
        <v>153</v>
      </c>
      <c r="AG137" s="3" t="s">
        <v>153</v>
      </c>
      <c r="AH137" s="3" t="s">
        <v>153</v>
      </c>
      <c r="AI137" s="3" t="s">
        <v>153</v>
      </c>
      <c r="AJ137" s="3" t="s">
        <v>153</v>
      </c>
      <c r="AK137" s="3" t="s">
        <v>153</v>
      </c>
      <c r="AL137" s="3" t="s">
        <v>153</v>
      </c>
      <c r="AM137" s="3" t="s">
        <v>153</v>
      </c>
      <c r="AN137" s="3" t="s">
        <v>153</v>
      </c>
      <c r="AO137" s="3" t="s">
        <v>153</v>
      </c>
      <c r="AP137" s="3" t="s">
        <v>153</v>
      </c>
      <c r="AQ137" s="3" t="s">
        <v>153</v>
      </c>
      <c r="AR137" s="3" t="s">
        <v>153</v>
      </c>
      <c r="AS137" s="3" t="s">
        <v>153</v>
      </c>
      <c r="AT137" s="3" t="s">
        <v>153</v>
      </c>
      <c r="AU137" s="3" t="s">
        <v>153</v>
      </c>
      <c r="AV137" s="3" t="s">
        <v>153</v>
      </c>
    </row>
    <row r="138" spans="1:48" ht="15" customHeight="1" x14ac:dyDescent="0.2">
      <c r="B138" s="43" t="s">
        <v>157</v>
      </c>
      <c r="C138" s="44">
        <f t="shared" ref="C138" si="202">+SUM(C133:C137)</f>
        <v>1404.9410000000003</v>
      </c>
      <c r="D138" s="44">
        <f t="shared" ref="D138" si="203">+SUM(D133:D137)</f>
        <v>1323.4720000000002</v>
      </c>
      <c r="E138" s="44">
        <f t="shared" ref="E138" si="204">+SUM(E133:E137)</f>
        <v>1382.547</v>
      </c>
      <c r="F138" s="44">
        <f t="shared" ref="F138" si="205">+SUM(F133:F137)</f>
        <v>2198.6190000000001</v>
      </c>
      <c r="G138" s="44">
        <f t="shared" ref="G138" si="206">+SUM(G133:G137)</f>
        <v>1412.627</v>
      </c>
      <c r="H138" s="44">
        <f t="shared" ref="H138" si="207">+SUM(H133:H137)</f>
        <v>1424.998</v>
      </c>
      <c r="I138" s="44">
        <f t="shared" ref="I138" si="208">+SUM(I133:I137)</f>
        <v>1544.835</v>
      </c>
      <c r="J138" s="44">
        <f t="shared" ref="J138" si="209">+SUM(J133:J137)</f>
        <v>1557.184</v>
      </c>
      <c r="K138" s="44">
        <f t="shared" ref="K138" si="210">+SUM(K133:K137)</f>
        <v>1563.184</v>
      </c>
      <c r="L138" s="44">
        <f t="shared" ref="L138" si="211">+SUM(L133:L137)</f>
        <v>1663.7249999999999</v>
      </c>
      <c r="M138" s="44">
        <f t="shared" ref="M138" si="212">+SUM(M133:M137)</f>
        <v>1728.473</v>
      </c>
      <c r="N138" s="44">
        <f t="shared" ref="N138" si="213">+SUM(N133:N137)</f>
        <v>1744.857</v>
      </c>
      <c r="O138" s="44">
        <f t="shared" ref="O138" si="214">+SUM(O133:O137)</f>
        <v>1823.4469999999999</v>
      </c>
      <c r="P138" s="44">
        <f t="shared" ref="P138" si="215">+SUM(P133:P137)</f>
        <v>1856.92</v>
      </c>
      <c r="Q138" s="44">
        <f t="shared" ref="Q138" si="216">+SUM(Q133:Q137)</f>
        <v>1963.44</v>
      </c>
      <c r="R138" s="44">
        <f t="shared" ref="R138" si="217">+SUM(R133:R137)</f>
        <v>1925.9690000000001</v>
      </c>
      <c r="S138" s="44">
        <f t="shared" ref="S138" si="218">+SUM(S133:S137)</f>
        <v>1966.5730000000001</v>
      </c>
      <c r="T138" s="44">
        <f t="shared" ref="T138" si="219">+SUM(T133:T137)</f>
        <v>2081.48</v>
      </c>
      <c r="U138" s="44">
        <f t="shared" ref="U138" si="220">+SUM(U133:U137)</f>
        <v>2223.8980000000001</v>
      </c>
      <c r="V138" s="44">
        <f t="shared" ref="V138" si="221">+SUM(V133:V137)</f>
        <v>1952.002</v>
      </c>
      <c r="W138" s="44">
        <f t="shared" ref="W138" si="222">+SUM(W133:W137)</f>
        <v>1964.1059999999998</v>
      </c>
      <c r="X138" s="44">
        <f t="shared" ref="X138" si="223">+SUM(X133:X137)</f>
        <v>1890.154</v>
      </c>
      <c r="Y138" s="44">
        <f t="shared" ref="Y138" si="224">+SUM(Y133:Y137)</f>
        <v>2048.7420000000002</v>
      </c>
      <c r="Z138" s="44">
        <f t="shared" ref="Z138" si="225">+SUM(Z133:Z137)</f>
        <v>2064.2830000000004</v>
      </c>
      <c r="AA138" s="44">
        <f t="shared" ref="AA138" si="226">+SUM(AA133:AA137)</f>
        <v>2158.9790000000003</v>
      </c>
      <c r="AB138" s="44">
        <f t="shared" ref="AB138" si="227">+SUM(AB133:AB137)</f>
        <v>1959.165</v>
      </c>
      <c r="AC138" s="44">
        <f t="shared" ref="AC138" si="228">+SUM(AC133:AC137)</f>
        <v>2035.1599999999999</v>
      </c>
      <c r="AD138" s="44">
        <f t="shared" ref="AD138" si="229">+SUM(AD133:AD137)</f>
        <v>2024.6509999999998</v>
      </c>
      <c r="AE138" s="44">
        <f t="shared" ref="AE138" si="230">+SUM(AE133:AE137)</f>
        <v>2081.0729999999999</v>
      </c>
      <c r="AF138" s="44">
        <f t="shared" ref="AF138" si="231">+SUM(AF133:AF137)</f>
        <v>2057.3580000000002</v>
      </c>
      <c r="AG138" s="44">
        <f t="shared" ref="AG138" si="232">+SUM(AG133:AG137)</f>
        <v>2139.2129999999997</v>
      </c>
      <c r="AH138" s="44">
        <f t="shared" ref="AH138" si="233">+SUM(AH133:AH137)</f>
        <v>2202.6080000000002</v>
      </c>
      <c r="AI138" s="44">
        <f t="shared" ref="AI138" si="234">+SUM(AI133:AI137)</f>
        <v>2192.1669999999999</v>
      </c>
      <c r="AJ138" s="44">
        <f t="shared" ref="AJ138" si="235">+SUM(AJ133:AJ137)</f>
        <v>2349.681</v>
      </c>
      <c r="AK138" s="44">
        <f t="shared" ref="AK138" si="236">+SUM(AK133:AK137)</f>
        <v>2385.8890000000001</v>
      </c>
      <c r="AL138" s="44">
        <f t="shared" ref="AL138" si="237">+SUM(AL133:AL137)</f>
        <v>2570.8490000000002</v>
      </c>
      <c r="AM138" s="44">
        <f t="shared" ref="AM138:AO138" si="238">+SUM(AM133:AM137)</f>
        <v>2692.4470000000001</v>
      </c>
      <c r="AN138" s="44">
        <f t="shared" si="238"/>
        <v>2975.7170000000001</v>
      </c>
      <c r="AO138" s="44">
        <f t="shared" si="238"/>
        <v>3008.806</v>
      </c>
      <c r="AP138" s="44">
        <v>3386.6559999999999</v>
      </c>
      <c r="AQ138" s="44">
        <v>4165.07</v>
      </c>
      <c r="AR138" s="44">
        <v>4367.5870000000004</v>
      </c>
      <c r="AS138" s="44">
        <v>4815.8990000000003</v>
      </c>
      <c r="AT138" s="44">
        <v>5125.3130000000001</v>
      </c>
      <c r="AU138" s="44">
        <v>5345.7089999999998</v>
      </c>
      <c r="AV138" s="44">
        <v>5428.68</v>
      </c>
    </row>
    <row r="139" spans="1:48" ht="15" customHeight="1" x14ac:dyDescent="0.2">
      <c r="B139" s="24" t="s">
        <v>58</v>
      </c>
      <c r="C139" s="3">
        <v>12.494999999999999</v>
      </c>
      <c r="D139" s="3">
        <v>15.432</v>
      </c>
      <c r="E139" s="3">
        <v>17.126000000000001</v>
      </c>
      <c r="F139" s="3">
        <v>15.394</v>
      </c>
      <c r="G139" s="3">
        <v>14.872999999999999</v>
      </c>
      <c r="H139" s="3">
        <v>15.207000000000001</v>
      </c>
      <c r="I139" s="3">
        <v>15.257</v>
      </c>
      <c r="J139" s="3">
        <v>15.696999999999999</v>
      </c>
      <c r="K139" s="3">
        <v>14.487</v>
      </c>
      <c r="L139" s="3">
        <v>15.292999999999999</v>
      </c>
      <c r="M139" s="3">
        <v>14.954000000000001</v>
      </c>
      <c r="N139" s="3">
        <v>15.891999999999999</v>
      </c>
      <c r="O139" s="3">
        <v>17.896999999999998</v>
      </c>
      <c r="P139" s="3">
        <v>26.975000000000001</v>
      </c>
      <c r="Q139" s="3">
        <v>25.106000000000002</v>
      </c>
      <c r="R139" s="3">
        <v>26.684000000000001</v>
      </c>
      <c r="S139" s="3">
        <v>25.138999999999999</v>
      </c>
      <c r="T139" s="3">
        <v>26.006</v>
      </c>
      <c r="U139" s="3">
        <v>26.248000000000001</v>
      </c>
      <c r="V139" s="3">
        <v>28.4</v>
      </c>
      <c r="W139" s="3">
        <v>30.167000000000002</v>
      </c>
      <c r="X139" s="3">
        <v>31.789000000000001</v>
      </c>
      <c r="Y139" s="3">
        <v>32.667000000000002</v>
      </c>
      <c r="Z139" s="3">
        <v>31.603999999999999</v>
      </c>
      <c r="AA139" s="3">
        <v>33.877000000000002</v>
      </c>
      <c r="AB139" s="3">
        <v>36.570999999999998</v>
      </c>
      <c r="AC139" s="3">
        <v>31.864999999999998</v>
      </c>
      <c r="AD139" s="3">
        <v>34.122999999999998</v>
      </c>
      <c r="AE139" s="3">
        <v>38.664999999999999</v>
      </c>
      <c r="AF139" s="3">
        <v>27.55</v>
      </c>
      <c r="AG139" s="3">
        <v>28.038</v>
      </c>
      <c r="AH139" s="3">
        <v>24.690999999999999</v>
      </c>
      <c r="AI139" s="3">
        <v>25.893999999999998</v>
      </c>
      <c r="AJ139" s="3">
        <v>29.632000000000001</v>
      </c>
      <c r="AK139" s="3">
        <v>30.437999999999999</v>
      </c>
      <c r="AL139" s="3">
        <v>30.175999999999998</v>
      </c>
      <c r="AM139" s="3">
        <v>30.728000000000002</v>
      </c>
      <c r="AN139" s="3">
        <v>32.337000000000003</v>
      </c>
      <c r="AO139" s="3">
        <v>33.991</v>
      </c>
      <c r="AP139" s="3">
        <v>38.414999999999999</v>
      </c>
      <c r="AQ139" s="3">
        <v>49.11</v>
      </c>
      <c r="AR139" s="3">
        <v>42.994</v>
      </c>
      <c r="AS139" s="3">
        <v>45.219000000000001</v>
      </c>
      <c r="AT139" s="3">
        <v>45.424999999999997</v>
      </c>
      <c r="AU139" s="3">
        <v>46.585999999999999</v>
      </c>
      <c r="AV139" s="3">
        <v>49.819000000000003</v>
      </c>
    </row>
    <row r="140" spans="1:48" ht="15" customHeight="1" x14ac:dyDescent="0.2">
      <c r="B140" s="24" t="s">
        <v>74</v>
      </c>
      <c r="C140" s="3">
        <v>3.2669999999999999</v>
      </c>
      <c r="D140" s="3">
        <v>3.629</v>
      </c>
      <c r="E140" s="3">
        <v>3.64</v>
      </c>
      <c r="F140" s="3">
        <v>3.6339999999999999</v>
      </c>
      <c r="G140" s="3">
        <v>3.64</v>
      </c>
      <c r="H140" s="3">
        <v>3.6309999999999998</v>
      </c>
      <c r="I140" s="3">
        <v>3.633</v>
      </c>
      <c r="J140" s="3">
        <v>3.6339999999999999</v>
      </c>
      <c r="K140" s="3">
        <v>3.641</v>
      </c>
      <c r="L140" s="3">
        <v>3.609</v>
      </c>
      <c r="M140" s="3">
        <v>3.5990000000000002</v>
      </c>
      <c r="N140" s="3">
        <v>3.61</v>
      </c>
      <c r="O140" s="3">
        <v>3.6240000000000001</v>
      </c>
      <c r="P140" s="3">
        <v>3.6309999999999998</v>
      </c>
      <c r="Q140" s="3">
        <v>3.629</v>
      </c>
      <c r="R140" s="3">
        <v>3.6389999999999998</v>
      </c>
      <c r="S140" s="3">
        <v>3.6509999999999998</v>
      </c>
      <c r="T140" s="3">
        <v>3.6619999999999999</v>
      </c>
      <c r="U140" s="3">
        <v>0.19</v>
      </c>
      <c r="V140" s="3">
        <v>0.113</v>
      </c>
      <c r="W140" s="3">
        <v>0.114</v>
      </c>
      <c r="X140" s="3">
        <v>0.189</v>
      </c>
      <c r="Y140" s="3">
        <v>0.21</v>
      </c>
      <c r="Z140" s="3">
        <v>0.215</v>
      </c>
      <c r="AA140" s="3">
        <v>0.23799999999999999</v>
      </c>
      <c r="AB140" s="3">
        <v>0.26200000000000001</v>
      </c>
      <c r="AC140" s="3">
        <v>0.27100000000000002</v>
      </c>
      <c r="AD140" s="3">
        <v>0.27400000000000002</v>
      </c>
      <c r="AE140" s="3">
        <v>0.27</v>
      </c>
      <c r="AF140" s="3">
        <v>0.17</v>
      </c>
      <c r="AG140" s="3">
        <v>0.89</v>
      </c>
      <c r="AH140" s="3">
        <v>0.19800000000000001</v>
      </c>
      <c r="AI140" s="3">
        <v>0.19900000000000001</v>
      </c>
      <c r="AJ140" s="3">
        <v>0.19</v>
      </c>
      <c r="AK140" s="3">
        <v>0.20699999999999999</v>
      </c>
      <c r="AL140" s="3">
        <v>0.219</v>
      </c>
      <c r="AM140" s="3">
        <v>0.23100000000000001</v>
      </c>
      <c r="AN140" s="3">
        <v>0.24099999999999999</v>
      </c>
      <c r="AO140" s="3">
        <v>8.1219999999999999</v>
      </c>
      <c r="AP140" s="3">
        <v>8.968</v>
      </c>
      <c r="AQ140" s="3">
        <v>9.3490000000000002</v>
      </c>
      <c r="AR140" s="3">
        <v>13.802</v>
      </c>
      <c r="AS140" s="3">
        <v>13.090999999999999</v>
      </c>
      <c r="AT140" s="3">
        <v>0.27600000000000002</v>
      </c>
      <c r="AU140" s="3">
        <v>-1.1060000000000001</v>
      </c>
      <c r="AV140" s="3">
        <v>18.358000000000001</v>
      </c>
    </row>
    <row r="141" spans="1:48" ht="15" customHeight="1" x14ac:dyDescent="0.2">
      <c r="B141" s="24" t="s">
        <v>75</v>
      </c>
      <c r="C141" s="3">
        <v>0.28100000000000003</v>
      </c>
      <c r="D141" s="3">
        <v>0.14499999999999999</v>
      </c>
      <c r="E141" s="3">
        <v>0.13900000000000001</v>
      </c>
      <c r="F141" s="3">
        <v>0.161</v>
      </c>
      <c r="G141" s="3">
        <v>0.16200000000000001</v>
      </c>
      <c r="H141" s="3">
        <v>0.192</v>
      </c>
      <c r="I141" s="3">
        <v>0.16</v>
      </c>
      <c r="J141" s="3">
        <v>0.155</v>
      </c>
      <c r="K141" s="3">
        <v>0.158</v>
      </c>
      <c r="L141" s="3">
        <v>0.13400000000000001</v>
      </c>
      <c r="M141" s="3">
        <v>0.13400000000000001</v>
      </c>
      <c r="N141" s="3">
        <v>0.13300000000000001</v>
      </c>
      <c r="O141" s="3">
        <v>0.13</v>
      </c>
      <c r="P141" s="3">
        <v>3.0000000000000001E-3</v>
      </c>
      <c r="Q141" s="3">
        <v>6.2E-2</v>
      </c>
      <c r="R141" s="3">
        <v>3.0000000000000001E-3</v>
      </c>
      <c r="S141" s="3">
        <v>3.0000000000000001E-3</v>
      </c>
      <c r="T141" s="3" t="s">
        <v>153</v>
      </c>
      <c r="U141" s="3" t="s">
        <v>153</v>
      </c>
      <c r="V141" s="3" t="s">
        <v>153</v>
      </c>
      <c r="W141" s="3" t="s">
        <v>153</v>
      </c>
      <c r="X141" s="3" t="s">
        <v>153</v>
      </c>
      <c r="Y141" s="3" t="s">
        <v>153</v>
      </c>
      <c r="Z141" s="3" t="s">
        <v>153</v>
      </c>
      <c r="AA141" s="3" t="s">
        <v>153</v>
      </c>
      <c r="AB141" s="3" t="s">
        <v>153</v>
      </c>
      <c r="AC141" s="3" t="s">
        <v>153</v>
      </c>
      <c r="AD141" s="3" t="s">
        <v>153</v>
      </c>
      <c r="AE141" s="3" t="s">
        <v>153</v>
      </c>
      <c r="AF141" s="3" t="s">
        <v>153</v>
      </c>
      <c r="AG141" s="3" t="s">
        <v>153</v>
      </c>
      <c r="AH141" s="3" t="s">
        <v>153</v>
      </c>
      <c r="AI141" s="3" t="s">
        <v>153</v>
      </c>
      <c r="AJ141" s="3" t="s">
        <v>153</v>
      </c>
      <c r="AK141" s="3" t="s">
        <v>153</v>
      </c>
      <c r="AL141" s="3" t="s">
        <v>153</v>
      </c>
      <c r="AM141" s="3" t="s">
        <v>153</v>
      </c>
      <c r="AN141" s="3" t="s">
        <v>153</v>
      </c>
      <c r="AO141" s="3" t="s">
        <v>153</v>
      </c>
      <c r="AP141" s="3" t="s">
        <v>153</v>
      </c>
      <c r="AQ141" s="3" t="s">
        <v>153</v>
      </c>
      <c r="AR141" s="3" t="s">
        <v>153</v>
      </c>
      <c r="AS141" s="3" t="s">
        <v>153</v>
      </c>
      <c r="AT141" s="3" t="s">
        <v>153</v>
      </c>
      <c r="AU141" s="3" t="s">
        <v>153</v>
      </c>
      <c r="AV141" s="73"/>
    </row>
    <row r="142" spans="1:48" ht="15" customHeight="1" x14ac:dyDescent="0.2">
      <c r="B142" s="24" t="s">
        <v>76</v>
      </c>
      <c r="C142" s="3">
        <v>7.0999999999999994E-2</v>
      </c>
      <c r="D142" s="3">
        <v>4.4999999999999998E-2</v>
      </c>
      <c r="E142" s="3">
        <v>3.6999999999999998E-2</v>
      </c>
      <c r="F142" s="3">
        <v>6.3E-2</v>
      </c>
      <c r="G142" s="3">
        <v>2E-3</v>
      </c>
      <c r="H142" s="3">
        <v>-0.12</v>
      </c>
      <c r="I142" s="3">
        <v>1E-3</v>
      </c>
      <c r="J142" s="3">
        <v>-3.7999999999999999E-2</v>
      </c>
      <c r="K142" s="3">
        <v>-3.5999999999999997E-2</v>
      </c>
      <c r="L142" s="3">
        <v>-8.2000000000000003E-2</v>
      </c>
      <c r="M142" s="3">
        <v>-4.7E-2</v>
      </c>
      <c r="N142" s="3">
        <v>-4.5999999999999999E-2</v>
      </c>
      <c r="O142" s="3">
        <v>-4.5999999999999999E-2</v>
      </c>
      <c r="P142" s="3">
        <v>7.6999999999999999E-2</v>
      </c>
      <c r="Q142" s="3">
        <v>4.1000000000000002E-2</v>
      </c>
      <c r="R142" s="3">
        <v>0.105</v>
      </c>
      <c r="S142" s="3">
        <v>0.114</v>
      </c>
      <c r="T142" s="3">
        <v>0.11700000000000001</v>
      </c>
      <c r="U142" s="3">
        <v>0.152</v>
      </c>
      <c r="V142" s="3">
        <v>0.154</v>
      </c>
      <c r="W142" s="3">
        <v>0.14899999999999999</v>
      </c>
      <c r="X142" s="3">
        <v>6.5000000000000002E-2</v>
      </c>
      <c r="Y142" s="3">
        <v>6.6000000000000003E-2</v>
      </c>
      <c r="Z142" s="3">
        <v>6.7000000000000004E-2</v>
      </c>
      <c r="AA142" s="3">
        <v>0.06</v>
      </c>
      <c r="AB142" s="3">
        <v>6.6000000000000003E-2</v>
      </c>
      <c r="AC142" s="3">
        <v>6.8000000000000005E-2</v>
      </c>
      <c r="AD142" s="3">
        <v>6.7000000000000004E-2</v>
      </c>
      <c r="AE142" s="3">
        <v>7.1999999999999995E-2</v>
      </c>
      <c r="AF142" s="3">
        <v>5.7000000000000002E-2</v>
      </c>
      <c r="AG142" s="3">
        <v>5.7000000000000002E-2</v>
      </c>
      <c r="AH142" s="3">
        <v>5.7000000000000002E-2</v>
      </c>
      <c r="AI142" s="3">
        <v>5.2999999999999999E-2</v>
      </c>
      <c r="AJ142" s="3">
        <v>4.8000000000000001E-2</v>
      </c>
      <c r="AK142" s="3">
        <v>1.2E-2</v>
      </c>
      <c r="AL142" s="3">
        <v>1.2E-2</v>
      </c>
      <c r="AM142" s="3">
        <v>1.2999999999999999E-2</v>
      </c>
      <c r="AN142" s="3">
        <v>1.9E-2</v>
      </c>
      <c r="AO142" s="3">
        <v>1.9E-2</v>
      </c>
      <c r="AP142" s="3">
        <v>1.2999999999999999E-2</v>
      </c>
      <c r="AQ142" s="3">
        <v>1.2999999999999999E-2</v>
      </c>
      <c r="AR142" s="3">
        <v>1.2E-2</v>
      </c>
      <c r="AS142" s="3">
        <v>1.2E-2</v>
      </c>
      <c r="AT142" s="3">
        <v>1.2E-2</v>
      </c>
      <c r="AU142" s="3">
        <v>1.2E-2</v>
      </c>
      <c r="AV142" s="3">
        <v>1.2999999999999999E-2</v>
      </c>
    </row>
    <row r="143" spans="1:48" ht="15" customHeight="1" x14ac:dyDescent="0.2">
      <c r="A143" s="55" t="s">
        <v>164</v>
      </c>
      <c r="B143" s="43" t="s">
        <v>158</v>
      </c>
      <c r="C143" s="44">
        <f t="shared" ref="C143" si="239">+SUM(C139:C142)</f>
        <v>16.114000000000001</v>
      </c>
      <c r="D143" s="44">
        <f t="shared" ref="D143" si="240">+SUM(D139:D142)</f>
        <v>19.251000000000001</v>
      </c>
      <c r="E143" s="44">
        <f t="shared" ref="E143" si="241">+SUM(E139:E142)</f>
        <v>20.942</v>
      </c>
      <c r="F143" s="44">
        <f t="shared" ref="F143" si="242">+SUM(F139:F142)</f>
        <v>19.251999999999999</v>
      </c>
      <c r="G143" s="44">
        <f t="shared" ref="G143" si="243">+SUM(G139:G142)</f>
        <v>18.676999999999996</v>
      </c>
      <c r="H143" s="44">
        <f t="shared" ref="H143:I143" si="244">+SUM(H139:H142)</f>
        <v>18.91</v>
      </c>
      <c r="I143" s="44">
        <f t="shared" si="244"/>
        <v>19.051000000000002</v>
      </c>
      <c r="J143" s="44">
        <f t="shared" ref="J143:L143" si="245">+SUM(J139:J142)</f>
        <v>19.448</v>
      </c>
      <c r="K143" s="44">
        <f t="shared" si="245"/>
        <v>18.25</v>
      </c>
      <c r="L143" s="44">
        <f t="shared" si="245"/>
        <v>18.954000000000001</v>
      </c>
      <c r="M143" s="44">
        <f t="shared" ref="M143" si="246">+SUM(M139:M142)</f>
        <v>18.64</v>
      </c>
      <c r="N143" s="44">
        <f t="shared" ref="N143" si="247">+SUM(N139:N142)</f>
        <v>19.588999999999999</v>
      </c>
      <c r="O143" s="44">
        <f t="shared" ref="O143:P143" si="248">+SUM(O139:O142)</f>
        <v>21.604999999999997</v>
      </c>
      <c r="P143" s="44">
        <f t="shared" si="248"/>
        <v>30.686000000000003</v>
      </c>
      <c r="Q143" s="44">
        <f t="shared" ref="Q143:T143" si="249">+SUM(Q139:Q142)</f>
        <v>28.838000000000005</v>
      </c>
      <c r="R143" s="44">
        <f t="shared" si="249"/>
        <v>30.431000000000001</v>
      </c>
      <c r="S143" s="44">
        <f t="shared" si="249"/>
        <v>28.907</v>
      </c>
      <c r="T143" s="44">
        <f t="shared" si="249"/>
        <v>29.785</v>
      </c>
      <c r="U143" s="44">
        <f t="shared" ref="U143:X143" si="250">+SUM(U139:U142)</f>
        <v>26.590000000000003</v>
      </c>
      <c r="V143" s="44">
        <f t="shared" si="250"/>
        <v>28.666999999999998</v>
      </c>
      <c r="W143" s="44">
        <f t="shared" si="250"/>
        <v>30.430000000000003</v>
      </c>
      <c r="X143" s="44">
        <f t="shared" si="250"/>
        <v>32.042999999999999</v>
      </c>
      <c r="Y143" s="44">
        <f t="shared" ref="Y143:AB143" si="251">+SUM(Y139:Y142)</f>
        <v>32.943000000000005</v>
      </c>
      <c r="Z143" s="44">
        <f t="shared" si="251"/>
        <v>31.885999999999999</v>
      </c>
      <c r="AA143" s="44">
        <f t="shared" si="251"/>
        <v>34.175000000000004</v>
      </c>
      <c r="AB143" s="44">
        <f t="shared" si="251"/>
        <v>36.899000000000001</v>
      </c>
      <c r="AC143" s="44">
        <f t="shared" ref="AC143:AQ143" si="252">+SUM(AC139:AC142)</f>
        <v>32.203999999999994</v>
      </c>
      <c r="AD143" s="44">
        <f t="shared" si="252"/>
        <v>34.463999999999999</v>
      </c>
      <c r="AE143" s="44">
        <f t="shared" si="252"/>
        <v>39.007000000000005</v>
      </c>
      <c r="AF143" s="44">
        <f t="shared" si="252"/>
        <v>27.777000000000001</v>
      </c>
      <c r="AG143" s="44">
        <f t="shared" si="252"/>
        <v>28.984999999999999</v>
      </c>
      <c r="AH143" s="44">
        <f t="shared" si="252"/>
        <v>24.945999999999998</v>
      </c>
      <c r="AI143" s="44">
        <f t="shared" si="252"/>
        <v>26.146000000000001</v>
      </c>
      <c r="AJ143" s="44">
        <f t="shared" si="252"/>
        <v>29.87</v>
      </c>
      <c r="AK143" s="44">
        <f t="shared" si="252"/>
        <v>30.657</v>
      </c>
      <c r="AL143" s="44">
        <f t="shared" si="252"/>
        <v>30.407</v>
      </c>
      <c r="AM143" s="44">
        <f t="shared" si="252"/>
        <v>30.972000000000005</v>
      </c>
      <c r="AN143" s="44">
        <f t="shared" si="252"/>
        <v>32.597000000000001</v>
      </c>
      <c r="AO143" s="44">
        <f t="shared" si="252"/>
        <v>42.131999999999998</v>
      </c>
      <c r="AP143" s="44">
        <f t="shared" si="252"/>
        <v>47.395999999999994</v>
      </c>
      <c r="AQ143" s="44">
        <f t="shared" si="252"/>
        <v>58.472000000000001</v>
      </c>
      <c r="AR143" s="44">
        <v>56.808</v>
      </c>
      <c r="AS143" s="44">
        <v>58.322000000000003</v>
      </c>
      <c r="AT143" s="44">
        <v>45.713000000000001</v>
      </c>
      <c r="AU143" s="44">
        <v>45.491999999999997</v>
      </c>
      <c r="AV143" s="44">
        <v>68.19</v>
      </c>
    </row>
    <row r="146" spans="1:48" ht="20.100000000000001" customHeight="1" x14ac:dyDescent="0.2">
      <c r="B146" s="32" t="s">
        <v>123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</row>
    <row r="147" spans="1:48" x14ac:dyDescent="0.2">
      <c r="B147" s="34" t="s">
        <v>65</v>
      </c>
      <c r="C147" s="35" t="s">
        <v>99</v>
      </c>
      <c r="D147" s="35">
        <v>2008</v>
      </c>
      <c r="E147" s="35" t="s">
        <v>100</v>
      </c>
      <c r="F147" s="35" t="s">
        <v>101</v>
      </c>
      <c r="G147" s="35" t="s">
        <v>102</v>
      </c>
      <c r="H147" s="35">
        <v>2009</v>
      </c>
      <c r="I147" s="35" t="s">
        <v>103</v>
      </c>
      <c r="J147" s="35" t="s">
        <v>104</v>
      </c>
      <c r="K147" s="35" t="s">
        <v>105</v>
      </c>
      <c r="L147" s="35">
        <v>2010</v>
      </c>
      <c r="M147" s="35" t="s">
        <v>106</v>
      </c>
      <c r="N147" s="35" t="s">
        <v>107</v>
      </c>
      <c r="O147" s="35" t="s">
        <v>108</v>
      </c>
      <c r="P147" s="35">
        <v>2011</v>
      </c>
      <c r="Q147" s="35" t="s">
        <v>96</v>
      </c>
      <c r="R147" s="35" t="s">
        <v>97</v>
      </c>
      <c r="S147" s="35" t="s">
        <v>98</v>
      </c>
      <c r="T147" s="35">
        <v>2012</v>
      </c>
      <c r="U147" s="35" t="s">
        <v>93</v>
      </c>
      <c r="V147" s="35" t="s">
        <v>94</v>
      </c>
      <c r="W147" s="35" t="s">
        <v>95</v>
      </c>
      <c r="X147" s="35">
        <v>2013</v>
      </c>
      <c r="Y147" s="35" t="s">
        <v>90</v>
      </c>
      <c r="Z147" s="35" t="s">
        <v>91</v>
      </c>
      <c r="AA147" s="35" t="s">
        <v>92</v>
      </c>
      <c r="AB147" s="35">
        <v>2014</v>
      </c>
      <c r="AC147" s="35" t="s">
        <v>87</v>
      </c>
      <c r="AD147" s="35" t="s">
        <v>88</v>
      </c>
      <c r="AE147" s="35" t="s">
        <v>89</v>
      </c>
      <c r="AF147" s="35">
        <v>2015</v>
      </c>
      <c r="AG147" s="35" t="s">
        <v>84</v>
      </c>
      <c r="AH147" s="35" t="s">
        <v>85</v>
      </c>
      <c r="AI147" s="35" t="s">
        <v>86</v>
      </c>
      <c r="AJ147" s="35">
        <v>2016</v>
      </c>
      <c r="AK147" s="35" t="s">
        <v>83</v>
      </c>
      <c r="AL147" s="35" t="s">
        <v>82</v>
      </c>
      <c r="AM147" s="35" t="s">
        <v>81</v>
      </c>
      <c r="AN147" s="35">
        <v>2017</v>
      </c>
      <c r="AO147" s="35" t="s">
        <v>171</v>
      </c>
      <c r="AP147" s="35" t="s">
        <v>174</v>
      </c>
      <c r="AQ147" s="35" t="s">
        <v>176</v>
      </c>
      <c r="AR147" s="35">
        <v>2018</v>
      </c>
      <c r="AS147" s="35" t="s">
        <v>187</v>
      </c>
      <c r="AT147" s="35" t="s">
        <v>189</v>
      </c>
      <c r="AU147" s="35" t="s">
        <v>192</v>
      </c>
      <c r="AV147" s="35">
        <v>2019</v>
      </c>
    </row>
    <row r="148" spans="1:48" ht="15" customHeight="1" x14ac:dyDescent="0.2">
      <c r="B148" s="42" t="s">
        <v>124</v>
      </c>
      <c r="C148" s="10">
        <v>218.32499999999999</v>
      </c>
      <c r="D148" s="10">
        <v>91.031999999999996</v>
      </c>
      <c r="E148" s="10">
        <v>5.7949999999999999</v>
      </c>
      <c r="F148" s="10">
        <v>12.593999999999999</v>
      </c>
      <c r="G148" s="10">
        <v>56.710999999999999</v>
      </c>
      <c r="H148" s="10">
        <v>69.343999999999994</v>
      </c>
      <c r="I148" s="10">
        <v>66.81</v>
      </c>
      <c r="J148" s="10">
        <v>106.476</v>
      </c>
      <c r="K148" s="10">
        <v>147.14099999999999</v>
      </c>
      <c r="L148" s="10">
        <v>178.58</v>
      </c>
      <c r="M148" s="10">
        <v>76.341999999999999</v>
      </c>
      <c r="N148" s="10">
        <v>143.34</v>
      </c>
      <c r="O148" s="10">
        <v>197.20699999999999</v>
      </c>
      <c r="P148" s="10">
        <v>242.44</v>
      </c>
      <c r="Q148" s="10">
        <v>92.372</v>
      </c>
      <c r="R148" s="10">
        <v>150.102</v>
      </c>
      <c r="S148" s="10">
        <v>197.93700000000001</v>
      </c>
      <c r="T148" s="10">
        <v>300.30399999999997</v>
      </c>
      <c r="U148" s="10">
        <v>147.036</v>
      </c>
      <c r="V148" s="10">
        <v>6.1989999999999998</v>
      </c>
      <c r="W148" s="10">
        <v>6.3109999999999999</v>
      </c>
      <c r="X148" s="10">
        <v>-63.682000000000002</v>
      </c>
      <c r="Y148" s="10">
        <v>142.447</v>
      </c>
      <c r="Z148" s="10">
        <v>183.94300000000001</v>
      </c>
      <c r="AA148" s="10">
        <v>253.36</v>
      </c>
      <c r="AB148" s="10">
        <v>57.856999999999999</v>
      </c>
      <c r="AC148" s="10">
        <v>84.837000000000003</v>
      </c>
      <c r="AD148" s="10">
        <v>115.24</v>
      </c>
      <c r="AE148" s="10">
        <v>158.22800000000001</v>
      </c>
      <c r="AF148" s="10">
        <v>193.036</v>
      </c>
      <c r="AG148" s="10">
        <v>149.815</v>
      </c>
      <c r="AH148" s="10">
        <v>224.185</v>
      </c>
      <c r="AI148" s="10">
        <v>214.28800000000001</v>
      </c>
      <c r="AJ148" s="10">
        <v>330.32299999999998</v>
      </c>
      <c r="AK148" s="10">
        <v>160.78100000000001</v>
      </c>
      <c r="AL148" s="10">
        <v>385.13600000000002</v>
      </c>
      <c r="AM148" s="10">
        <v>516.10400000000004</v>
      </c>
      <c r="AN148" s="10">
        <v>770.72799999999995</v>
      </c>
      <c r="AO148" s="3">
        <v>241.05500000000001</v>
      </c>
      <c r="AP148" s="3">
        <v>520.39200000000005</v>
      </c>
      <c r="AQ148" s="3">
        <v>981.68899999999996</v>
      </c>
      <c r="AR148" s="3">
        <v>1401.527</v>
      </c>
      <c r="AS148" s="3">
        <v>780.90499999999997</v>
      </c>
      <c r="AT148" s="3">
        <v>1179.3610000000001</v>
      </c>
      <c r="AU148" s="3">
        <v>1436.3489999999999</v>
      </c>
      <c r="AV148" s="3">
        <v>1414.8589999999999</v>
      </c>
    </row>
    <row r="149" spans="1:48" ht="15" customHeight="1" x14ac:dyDescent="0.2">
      <c r="B149" s="24" t="s">
        <v>125</v>
      </c>
      <c r="C149" s="3">
        <v>107.99299999999999</v>
      </c>
      <c r="D149" s="3">
        <v>167.33799999999999</v>
      </c>
      <c r="E149" s="3">
        <v>-29.285</v>
      </c>
      <c r="F149" s="3">
        <v>-18.698</v>
      </c>
      <c r="G149" s="3">
        <v>-7.09</v>
      </c>
      <c r="H149" s="3">
        <v>13.829000000000001</v>
      </c>
      <c r="I149" s="3">
        <v>40.456000000000003</v>
      </c>
      <c r="J149" s="3">
        <v>86.563999999999993</v>
      </c>
      <c r="K149" s="3">
        <v>54.710999999999999</v>
      </c>
      <c r="L149" s="3">
        <v>130.27699999999999</v>
      </c>
      <c r="M149" s="3">
        <v>36.804000000000002</v>
      </c>
      <c r="N149" s="3">
        <v>107.23</v>
      </c>
      <c r="O149" s="3">
        <v>228.167</v>
      </c>
      <c r="P149" s="3">
        <v>131.19800000000001</v>
      </c>
      <c r="Q149" s="3">
        <v>33.353999999999999</v>
      </c>
      <c r="R149" s="3">
        <v>73.41</v>
      </c>
      <c r="S149" s="3">
        <v>91.381</v>
      </c>
      <c r="T149" s="3">
        <v>8.4719999999999995</v>
      </c>
      <c r="U149" s="3">
        <v>-11.111000000000001</v>
      </c>
      <c r="V149" s="3">
        <v>32.363</v>
      </c>
      <c r="W149" s="3">
        <v>57.503</v>
      </c>
      <c r="X149" s="3">
        <v>101.01300000000001</v>
      </c>
      <c r="Y149" s="3">
        <v>52.121000000000002</v>
      </c>
      <c r="Z149" s="3">
        <v>92.42</v>
      </c>
      <c r="AA149" s="3">
        <v>69.911000000000001</v>
      </c>
      <c r="AB149" s="3">
        <v>267.82900000000001</v>
      </c>
      <c r="AC149" s="3">
        <v>5.399</v>
      </c>
      <c r="AD149" s="3">
        <v>39.030999999999999</v>
      </c>
      <c r="AE149" s="3">
        <v>39.128999999999998</v>
      </c>
      <c r="AF149" s="3">
        <v>103.133</v>
      </c>
      <c r="AG149" s="3">
        <v>42.701000000000001</v>
      </c>
      <c r="AH149" s="3">
        <v>100.61199999999999</v>
      </c>
      <c r="AI149" s="3">
        <v>149.089</v>
      </c>
      <c r="AJ149" s="3">
        <v>183.65700000000001</v>
      </c>
      <c r="AK149" s="3">
        <v>70.138000000000005</v>
      </c>
      <c r="AL149" s="3">
        <v>70.225999999999999</v>
      </c>
      <c r="AM149" s="3">
        <v>147.70599999999999</v>
      </c>
      <c r="AN149" s="3">
        <v>218.47399999999999</v>
      </c>
      <c r="AO149" s="3">
        <v>77.003</v>
      </c>
      <c r="AP149" s="3">
        <v>249.61199999999999</v>
      </c>
      <c r="AQ149" s="3">
        <v>330.48399999999998</v>
      </c>
      <c r="AR149" s="3">
        <v>449.76299999999998</v>
      </c>
      <c r="AS149" s="3">
        <v>203.56899999999999</v>
      </c>
      <c r="AT149" s="3">
        <v>400.375</v>
      </c>
      <c r="AU149" s="3">
        <v>600.23</v>
      </c>
      <c r="AV149" s="3">
        <v>772.61900000000003</v>
      </c>
    </row>
    <row r="150" spans="1:48" ht="15" customHeight="1" x14ac:dyDescent="0.2">
      <c r="B150" s="24" t="s">
        <v>126</v>
      </c>
      <c r="C150" s="3">
        <v>-341.90199999999999</v>
      </c>
      <c r="D150" s="3">
        <v>-330.44600000000003</v>
      </c>
      <c r="E150" s="3">
        <v>-23.155999999999999</v>
      </c>
      <c r="F150" s="3">
        <v>95.542000000000002</v>
      </c>
      <c r="G150" s="3">
        <v>117.361</v>
      </c>
      <c r="H150" s="3">
        <v>165.25800000000001</v>
      </c>
      <c r="I150" s="3">
        <v>18.646000000000001</v>
      </c>
      <c r="J150" s="3">
        <v>-74.284000000000006</v>
      </c>
      <c r="K150" s="3">
        <v>-107.251</v>
      </c>
      <c r="L150" s="3">
        <v>7.8719999999999999</v>
      </c>
      <c r="M150" s="3">
        <v>13.608000000000001</v>
      </c>
      <c r="N150" s="3">
        <v>-38.902000000000001</v>
      </c>
      <c r="O150" s="3">
        <v>-234.041</v>
      </c>
      <c r="P150" s="3">
        <v>-105.986</v>
      </c>
      <c r="Q150" s="3">
        <v>8.8010000000000002</v>
      </c>
      <c r="R150" s="3">
        <v>-16.882999999999999</v>
      </c>
      <c r="S150" s="3">
        <v>-148.72900000000001</v>
      </c>
      <c r="T150" s="3">
        <v>-50.887</v>
      </c>
      <c r="U150" s="3">
        <v>1.1419999999999999</v>
      </c>
      <c r="V150" s="3">
        <v>-36.622999999999998</v>
      </c>
      <c r="W150" s="3">
        <v>-274.03100000000001</v>
      </c>
      <c r="X150" s="3">
        <v>-101.753</v>
      </c>
      <c r="Y150" s="3">
        <v>150.94300000000001</v>
      </c>
      <c r="Z150" s="3">
        <v>-56.878999999999998</v>
      </c>
      <c r="AA150" s="3">
        <v>-201.21600000000001</v>
      </c>
      <c r="AB150" s="3">
        <v>-133.79900000000001</v>
      </c>
      <c r="AC150" s="3">
        <v>175.16200000000001</v>
      </c>
      <c r="AD150" s="3">
        <v>153.29599999999999</v>
      </c>
      <c r="AE150" s="3">
        <v>-11.427</v>
      </c>
      <c r="AF150" s="3">
        <v>-22.140999999999998</v>
      </c>
      <c r="AG150" s="3">
        <v>146.58699999999999</v>
      </c>
      <c r="AH150" s="3">
        <v>298.036</v>
      </c>
      <c r="AI150" s="3">
        <v>264.23</v>
      </c>
      <c r="AJ150" s="3">
        <v>401.79899999999998</v>
      </c>
      <c r="AK150" s="3">
        <v>1621.5309999999999</v>
      </c>
      <c r="AL150" s="3">
        <v>1300.749</v>
      </c>
      <c r="AM150" s="3">
        <v>1151.6669999999999</v>
      </c>
      <c r="AN150" s="3">
        <v>1012.451</v>
      </c>
      <c r="AO150" s="3">
        <v>641.50199999999995</v>
      </c>
      <c r="AP150" s="3">
        <v>393.00700000000001</v>
      </c>
      <c r="AQ150" s="3">
        <v>912.95600000000002</v>
      </c>
      <c r="AR150" s="3">
        <v>576.19100000000003</v>
      </c>
      <c r="AS150" s="3">
        <v>-564.49</v>
      </c>
      <c r="AT150" s="3">
        <v>-685.13800000000003</v>
      </c>
      <c r="AU150" s="3">
        <v>-1155.952</v>
      </c>
      <c r="AV150" s="3">
        <v>-1059.8340000000001</v>
      </c>
    </row>
    <row r="151" spans="1:48" ht="15" customHeight="1" x14ac:dyDescent="0.2">
      <c r="B151" s="6" t="s">
        <v>128</v>
      </c>
      <c r="C151" s="7">
        <v>-65.978999999999999</v>
      </c>
      <c r="D151" s="7">
        <v>-109.45</v>
      </c>
      <c r="E151" s="7">
        <v>-74.823999999999998</v>
      </c>
      <c r="F151" s="7">
        <v>64.921999999999997</v>
      </c>
      <c r="G151" s="7">
        <v>135.68700000000001</v>
      </c>
      <c r="H151" s="7">
        <v>209.554</v>
      </c>
      <c r="I151" s="7">
        <v>107.28700000000001</v>
      </c>
      <c r="J151" s="7">
        <v>113.47</v>
      </c>
      <c r="K151" s="7">
        <v>80.323999999999998</v>
      </c>
      <c r="L151" s="7">
        <v>298.20299999999997</v>
      </c>
      <c r="M151" s="7">
        <v>101.97799999999999</v>
      </c>
      <c r="N151" s="7">
        <v>163.953</v>
      </c>
      <c r="O151" s="7">
        <v>149.36500000000001</v>
      </c>
      <c r="P151" s="7">
        <v>208.923</v>
      </c>
      <c r="Q151" s="7">
        <v>131.86600000000001</v>
      </c>
      <c r="R151" s="7">
        <v>176.06399999999999</v>
      </c>
      <c r="S151" s="7">
        <v>100.214</v>
      </c>
      <c r="T151" s="7">
        <v>198.93299999999999</v>
      </c>
      <c r="U151" s="7">
        <v>81.727000000000004</v>
      </c>
      <c r="V151" s="7">
        <v>-39.177</v>
      </c>
      <c r="W151" s="7">
        <v>-252.29599999999999</v>
      </c>
      <c r="X151" s="7">
        <v>-123.232</v>
      </c>
      <c r="Y151" s="7">
        <v>318.82299999999998</v>
      </c>
      <c r="Z151" s="7">
        <v>175.673</v>
      </c>
      <c r="AA151" s="7">
        <v>75.626000000000005</v>
      </c>
      <c r="AB151" s="7">
        <v>133.49299999999999</v>
      </c>
      <c r="AC151" s="7">
        <v>235.88300000000001</v>
      </c>
      <c r="AD151" s="7">
        <v>278.86200000000002</v>
      </c>
      <c r="AE151" s="7">
        <v>145.76</v>
      </c>
      <c r="AF151" s="7">
        <v>194.721</v>
      </c>
      <c r="AG151" s="7">
        <v>283.47899999999998</v>
      </c>
      <c r="AH151" s="7">
        <v>510.565</v>
      </c>
      <c r="AI151" s="7">
        <v>439.99200000000002</v>
      </c>
      <c r="AJ151" s="7">
        <v>686.42200000000003</v>
      </c>
      <c r="AK151" s="7">
        <v>1789.2349999999999</v>
      </c>
      <c r="AL151" s="7">
        <v>1667.0740000000001</v>
      </c>
      <c r="AM151" s="7">
        <v>1700.1289999999999</v>
      </c>
      <c r="AN151" s="7">
        <v>1829.9780000000001</v>
      </c>
      <c r="AO151" s="7">
        <v>916.92200000000003</v>
      </c>
      <c r="AP151" s="7">
        <v>1068.1089999999999</v>
      </c>
      <c r="AQ151" s="7">
        <v>2099.56</v>
      </c>
      <c r="AR151" s="7">
        <v>2245.7310000000002</v>
      </c>
      <c r="AS151" s="7">
        <v>266.74400000000003</v>
      </c>
      <c r="AT151" s="7">
        <v>712.57299999999998</v>
      </c>
      <c r="AU151" s="7">
        <v>647.11699999999996</v>
      </c>
      <c r="AV151" s="7">
        <v>771.53899999999999</v>
      </c>
    </row>
    <row r="152" spans="1:48" ht="15" customHeight="1" x14ac:dyDescent="0.2">
      <c r="B152" s="24" t="s">
        <v>129</v>
      </c>
      <c r="C152" s="3">
        <v>-63.552</v>
      </c>
      <c r="D152" s="3">
        <v>-40.741999999999997</v>
      </c>
      <c r="E152" s="3">
        <v>-4.1340000000000003</v>
      </c>
      <c r="F152" s="3">
        <v>-8.8000000000000007</v>
      </c>
      <c r="G152" s="3">
        <v>-25.922000000000001</v>
      </c>
      <c r="H152" s="3">
        <v>-40.24</v>
      </c>
      <c r="I152" s="3">
        <v>-19.196999999999999</v>
      </c>
      <c r="J152" s="3">
        <v>-27.75</v>
      </c>
      <c r="K152" s="3">
        <v>-29.411000000000001</v>
      </c>
      <c r="L152" s="3">
        <v>-36.606999999999999</v>
      </c>
      <c r="M152" s="3">
        <v>-5.968</v>
      </c>
      <c r="N152" s="3">
        <v>-16.268000000000001</v>
      </c>
      <c r="O152" s="3">
        <v>-47.832999999999998</v>
      </c>
      <c r="P152" s="3">
        <v>-64.578000000000003</v>
      </c>
      <c r="Q152" s="3">
        <v>-27.376000000000001</v>
      </c>
      <c r="R152" s="3">
        <v>-51.021000000000001</v>
      </c>
      <c r="S152" s="3">
        <v>-68.021000000000001</v>
      </c>
      <c r="T152" s="3">
        <v>-91.057000000000002</v>
      </c>
      <c r="U152" s="3">
        <v>-11.314</v>
      </c>
      <c r="V152" s="3">
        <v>-47.674999999999997</v>
      </c>
      <c r="W152" s="3">
        <v>-84.504999999999995</v>
      </c>
      <c r="X152" s="3">
        <v>-157.00200000000001</v>
      </c>
      <c r="Y152" s="3">
        <v>-85.081000000000003</v>
      </c>
      <c r="Z152" s="3">
        <v>-215.893</v>
      </c>
      <c r="AA152" s="3">
        <v>-303.52499999999998</v>
      </c>
      <c r="AB152" s="3">
        <v>-381.87400000000002</v>
      </c>
      <c r="AC152" s="3">
        <v>-69.605999999999995</v>
      </c>
      <c r="AD152" s="3">
        <v>-123.533</v>
      </c>
      <c r="AE152" s="3">
        <v>-187.45500000000001</v>
      </c>
      <c r="AF152" s="3">
        <v>-221.10400000000001</v>
      </c>
      <c r="AG152" s="3">
        <v>-35.5</v>
      </c>
      <c r="AH152" s="3">
        <v>-77.2</v>
      </c>
      <c r="AI152" s="3">
        <v>-95.522999999999996</v>
      </c>
      <c r="AJ152" s="3">
        <v>-150.989</v>
      </c>
      <c r="AK152" s="3">
        <v>-19.135000000000002</v>
      </c>
      <c r="AL152" s="3">
        <v>-75.486999999999995</v>
      </c>
      <c r="AM152" s="3">
        <v>-100.59099999999999</v>
      </c>
      <c r="AN152" s="3">
        <f>-209.204+9.918</f>
        <v>-199.286</v>
      </c>
      <c r="AO152" s="3">
        <f>-37.383+0.586</f>
        <v>-36.797000000000004</v>
      </c>
      <c r="AP152" s="3">
        <f>-77.953+1.824</f>
        <v>-76.129000000000005</v>
      </c>
      <c r="AQ152" s="3">
        <f>-177.689+ 3.518</f>
        <v>-174.17099999999999</v>
      </c>
      <c r="AR152" s="3">
        <f>-261.165+4.888</f>
        <v>-256.27700000000004</v>
      </c>
      <c r="AS152" s="3">
        <f>-58.59+1.488</f>
        <v>-57.102000000000004</v>
      </c>
      <c r="AT152" s="3">
        <f>-114.506+4.783</f>
        <v>-109.723</v>
      </c>
      <c r="AU152" s="3">
        <f>-162.205+5.547</f>
        <v>-156.65800000000002</v>
      </c>
      <c r="AV152" s="3">
        <f>-(285.51)+49.462</f>
        <v>-236.048</v>
      </c>
    </row>
    <row r="153" spans="1:48" ht="15" customHeight="1" x14ac:dyDescent="0.2">
      <c r="B153" s="24" t="s">
        <v>130</v>
      </c>
      <c r="C153" s="40">
        <v>-1.704</v>
      </c>
      <c r="D153" s="40">
        <v>2.8650000000000002</v>
      </c>
      <c r="E153" s="40">
        <v>-35.869999999999997</v>
      </c>
      <c r="F153" s="40">
        <v>-33.741999999999997</v>
      </c>
      <c r="G153" s="40">
        <v>-38.725000000000001</v>
      </c>
      <c r="H153" s="40">
        <v>-33.396000000000001</v>
      </c>
      <c r="I153" s="40">
        <v>-1.544</v>
      </c>
      <c r="J153" s="40">
        <v>2.6360000000000001</v>
      </c>
      <c r="K153" s="40">
        <v>2.617</v>
      </c>
      <c r="L153" s="40">
        <v>3.6960000000000002</v>
      </c>
      <c r="M153" s="40">
        <v>0.223</v>
      </c>
      <c r="N153" s="40">
        <v>-43.100999999999999</v>
      </c>
      <c r="O153" s="40">
        <v>-42.978999999999999</v>
      </c>
      <c r="P153" s="40">
        <v>-42.975000000000001</v>
      </c>
      <c r="Q153" s="40">
        <v>-2.3119999999999998</v>
      </c>
      <c r="R153" s="40">
        <v>1.919</v>
      </c>
      <c r="S153" s="40">
        <v>2.0169999999999999</v>
      </c>
      <c r="T153" s="40">
        <v>329.995</v>
      </c>
      <c r="U153" s="40">
        <v>-26.512</v>
      </c>
      <c r="V153" s="40">
        <v>-15.409000000000001</v>
      </c>
      <c r="W153" s="40">
        <v>-33.633000000000003</v>
      </c>
      <c r="X153" s="40">
        <v>-28.492999999999999</v>
      </c>
      <c r="Y153" s="40">
        <v>21.597999999999999</v>
      </c>
      <c r="Z153" s="40">
        <v>45.375999999999998</v>
      </c>
      <c r="AA153" s="40">
        <v>36.170999999999999</v>
      </c>
      <c r="AB153" s="40">
        <v>75.912000000000006</v>
      </c>
      <c r="AC153" s="40">
        <v>7.258</v>
      </c>
      <c r="AD153" s="40">
        <v>15.38</v>
      </c>
      <c r="AE153" s="40">
        <v>18.773</v>
      </c>
      <c r="AF153" s="40">
        <v>20.225000000000001</v>
      </c>
      <c r="AG153" s="40">
        <v>9.7010000000000005</v>
      </c>
      <c r="AH153" s="40">
        <v>-26.376000000000001</v>
      </c>
      <c r="AI153" s="40">
        <v>20.206</v>
      </c>
      <c r="AJ153" s="40">
        <v>-12.662000000000001</v>
      </c>
      <c r="AK153" s="40">
        <v>-7.37</v>
      </c>
      <c r="AL153" s="40">
        <v>-16.071999999999999</v>
      </c>
      <c r="AM153" s="40">
        <v>59.192999999999998</v>
      </c>
      <c r="AN153" s="40">
        <v>114.39400000000001</v>
      </c>
      <c r="AO153" s="40">
        <v>-54.43</v>
      </c>
      <c r="AP153" s="40">
        <v>7.87</v>
      </c>
      <c r="AQ153" s="40">
        <v>-114.83600000000001</v>
      </c>
      <c r="AR153" s="40">
        <v>-65.687999000000005</v>
      </c>
      <c r="AS153" s="40">
        <v>-12.179000000000002</v>
      </c>
      <c r="AT153" s="40">
        <v>-116.337</v>
      </c>
      <c r="AU153" s="40">
        <v>-112.77799999999996</v>
      </c>
      <c r="AV153" s="40">
        <v>-157.03300000000002</v>
      </c>
    </row>
    <row r="154" spans="1:48" ht="15" customHeight="1" x14ac:dyDescent="0.2">
      <c r="B154" s="6" t="s">
        <v>127</v>
      </c>
      <c r="C154" s="45">
        <v>-65.256</v>
      </c>
      <c r="D154" s="45">
        <v>-37.877000000000002</v>
      </c>
      <c r="E154" s="45">
        <v>-40.003999999999998</v>
      </c>
      <c r="F154" s="45">
        <v>-42.542000000000002</v>
      </c>
      <c r="G154" s="45">
        <v>-64.647000000000006</v>
      </c>
      <c r="H154" s="45">
        <v>-73.635999999999996</v>
      </c>
      <c r="I154" s="45">
        <v>-20.741</v>
      </c>
      <c r="J154" s="45">
        <v>-25.114000000000001</v>
      </c>
      <c r="K154" s="45">
        <v>-26.794</v>
      </c>
      <c r="L154" s="45">
        <v>-32.911000000000001</v>
      </c>
      <c r="M154" s="45">
        <v>-5.7450000000000001</v>
      </c>
      <c r="N154" s="45">
        <v>-59.369</v>
      </c>
      <c r="O154" s="45">
        <v>-90.811999999999998</v>
      </c>
      <c r="P154" s="45">
        <v>-107.553</v>
      </c>
      <c r="Q154" s="45">
        <v>-29.687999999999999</v>
      </c>
      <c r="R154" s="45">
        <v>-49.101999999999997</v>
      </c>
      <c r="S154" s="45">
        <v>-66.004000000000005</v>
      </c>
      <c r="T154" s="45">
        <v>238.93799999999999</v>
      </c>
      <c r="U154" s="45">
        <v>-37.826000000000001</v>
      </c>
      <c r="V154" s="45">
        <v>-63.084000000000003</v>
      </c>
      <c r="W154" s="45">
        <v>-118.13800000000001</v>
      </c>
      <c r="X154" s="45">
        <v>-185.495</v>
      </c>
      <c r="Y154" s="45">
        <v>-63.482999999999997</v>
      </c>
      <c r="Z154" s="45">
        <v>-170.517</v>
      </c>
      <c r="AA154" s="45">
        <v>-267.35399999999998</v>
      </c>
      <c r="AB154" s="45">
        <v>-305.96199999999999</v>
      </c>
      <c r="AC154" s="45">
        <v>-62.347999999999999</v>
      </c>
      <c r="AD154" s="45">
        <v>-108.15300000000001</v>
      </c>
      <c r="AE154" s="45">
        <v>-168.68199999999999</v>
      </c>
      <c r="AF154" s="45">
        <v>-200.87899999999999</v>
      </c>
      <c r="AG154" s="45">
        <v>-25.798999999999999</v>
      </c>
      <c r="AH154" s="45">
        <v>-103.57599999999999</v>
      </c>
      <c r="AI154" s="45">
        <v>-75.316999999999993</v>
      </c>
      <c r="AJ154" s="45">
        <v>-163.65100000000001</v>
      </c>
      <c r="AK154" s="45">
        <v>-26.504999999999999</v>
      </c>
      <c r="AL154" s="45">
        <v>-91.558999999999997</v>
      </c>
      <c r="AM154" s="45">
        <v>-41.398000000000003</v>
      </c>
      <c r="AN154" s="45">
        <v>-84.891999999999996</v>
      </c>
      <c r="AO154" s="45">
        <v>-91.227000000000004</v>
      </c>
      <c r="AP154" s="45">
        <v>-68.257999999999996</v>
      </c>
      <c r="AQ154" s="45">
        <v>-289.00700000000001</v>
      </c>
      <c r="AR154" s="45">
        <v>-321.96499999999997</v>
      </c>
      <c r="AS154" s="45">
        <v>-69.281000000000006</v>
      </c>
      <c r="AT154" s="45">
        <v>-226.06</v>
      </c>
      <c r="AU154" s="45">
        <v>-269.43599999999998</v>
      </c>
      <c r="AV154" s="45">
        <v>-393.08100000000002</v>
      </c>
    </row>
    <row r="155" spans="1:48" ht="15" customHeight="1" x14ac:dyDescent="0.2">
      <c r="B155" s="146" t="s">
        <v>147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283.36700000000002</v>
      </c>
      <c r="T155" s="3">
        <v>-7.476</v>
      </c>
      <c r="U155" s="3">
        <v>75.296999999999997</v>
      </c>
      <c r="V155" s="3">
        <v>115.553</v>
      </c>
      <c r="W155" s="3">
        <v>257.61900000000003</v>
      </c>
      <c r="X155" s="3">
        <v>0</v>
      </c>
      <c r="Y155" s="3">
        <v>22.850999999999999</v>
      </c>
      <c r="Z155" s="3">
        <v>96.031000000000006</v>
      </c>
      <c r="AA155" s="3">
        <v>50.622999999999998</v>
      </c>
      <c r="AB155" s="3">
        <v>177.006</v>
      </c>
      <c r="AC155" s="3">
        <v>-27.863</v>
      </c>
      <c r="AD155" s="3">
        <v>-41.639000000000003</v>
      </c>
      <c r="AE155" s="3">
        <v>47.381</v>
      </c>
      <c r="AF155" s="3">
        <v>-53.119</v>
      </c>
      <c r="AG155" s="3">
        <v>-44.625999999999998</v>
      </c>
      <c r="AH155" s="3">
        <v>-135.44200000000001</v>
      </c>
      <c r="AI155" s="3">
        <v>-179.49700000000001</v>
      </c>
      <c r="AJ155" s="3">
        <v>-135.46199999999999</v>
      </c>
      <c r="AK155" s="3">
        <v>-16.145</v>
      </c>
      <c r="AL155" s="3">
        <v>-11.321</v>
      </c>
      <c r="AM155" s="3">
        <v>-239.41900000000001</v>
      </c>
      <c r="AN155" s="3">
        <f>-1141.606+908.171</f>
        <v>-233.43499999999995</v>
      </c>
      <c r="AO155" s="3">
        <f>300.131-412.52</f>
        <v>-112.38900000000001</v>
      </c>
      <c r="AP155" s="3">
        <v>395.68599999999998</v>
      </c>
      <c r="AQ155" s="3">
        <f>-890.619+529.863</f>
        <v>-360.75599999999997</v>
      </c>
      <c r="AR155" s="3">
        <f>-1101.514+698.987</f>
        <v>-402.52699999999993</v>
      </c>
      <c r="AS155" s="3">
        <f>144.453-(513.131)</f>
        <v>-368.678</v>
      </c>
      <c r="AT155" s="3">
        <v>328.66</v>
      </c>
      <c r="AU155" s="3">
        <f>386.034-(928.728)</f>
        <v>-542.69399999999996</v>
      </c>
      <c r="AV155" s="3">
        <f>-1307.551+865.11</f>
        <v>-442.44099999999992</v>
      </c>
    </row>
    <row r="156" spans="1:48" ht="15" customHeight="1" x14ac:dyDescent="0.2">
      <c r="B156" s="24" t="s">
        <v>137</v>
      </c>
      <c r="C156" s="40">
        <v>-19.734000000000002</v>
      </c>
      <c r="D156" s="40">
        <v>-19.734000000000002</v>
      </c>
      <c r="E156" s="40">
        <v>0</v>
      </c>
      <c r="F156" s="40">
        <v>-1.6579999999999999</v>
      </c>
      <c r="G156" s="40">
        <v>-1.6579999999999999</v>
      </c>
      <c r="H156" s="40">
        <v>-1.6579999999999999</v>
      </c>
      <c r="I156" s="40">
        <v>0</v>
      </c>
      <c r="J156" s="40">
        <v>-19.309999999999999</v>
      </c>
      <c r="K156" s="40">
        <v>-19.309999999999999</v>
      </c>
      <c r="L156" s="40">
        <v>-19.309999999999999</v>
      </c>
      <c r="M156" s="40">
        <v>0</v>
      </c>
      <c r="N156" s="40">
        <v>-56.607999999999997</v>
      </c>
      <c r="O156" s="40">
        <v>-56.607999999999997</v>
      </c>
      <c r="P156" s="40">
        <v>-56.607999999999997</v>
      </c>
      <c r="Q156" s="40">
        <v>0</v>
      </c>
      <c r="R156" s="40">
        <v>0</v>
      </c>
      <c r="S156" s="40">
        <v>-75.046999999999997</v>
      </c>
      <c r="T156" s="40">
        <v>-75.046999999999997</v>
      </c>
      <c r="U156" s="40">
        <v>0</v>
      </c>
      <c r="V156" s="40">
        <v>-138.27500000000001</v>
      </c>
      <c r="W156" s="40">
        <v>-138.27500000000001</v>
      </c>
      <c r="X156" s="40">
        <v>0</v>
      </c>
      <c r="Y156" s="40">
        <v>0</v>
      </c>
      <c r="Z156" s="40">
        <v>0</v>
      </c>
      <c r="AA156" s="40">
        <v>0</v>
      </c>
      <c r="AB156" s="40">
        <v>0</v>
      </c>
      <c r="AC156" s="40">
        <v>0</v>
      </c>
      <c r="AD156" s="40">
        <v>-41.048999999999999</v>
      </c>
      <c r="AE156" s="40">
        <v>-41.048999999999999</v>
      </c>
      <c r="AF156" s="40">
        <v>-41.048999999999999</v>
      </c>
      <c r="AG156" s="40">
        <v>0</v>
      </c>
      <c r="AH156" s="40">
        <v>-63.665999999999997</v>
      </c>
      <c r="AI156" s="40">
        <v>-63.665999999999997</v>
      </c>
      <c r="AJ156" s="40">
        <v>-63.665999999999997</v>
      </c>
      <c r="AK156" s="40">
        <v>-120.292</v>
      </c>
      <c r="AL156" s="40">
        <v>-120.292</v>
      </c>
      <c r="AM156" s="40">
        <v>-120.292</v>
      </c>
      <c r="AN156" s="40">
        <v>-120.292</v>
      </c>
      <c r="AO156" s="40" t="s">
        <v>153</v>
      </c>
      <c r="AP156" s="40">
        <v>-248.69300000000001</v>
      </c>
      <c r="AQ156" s="40">
        <v>-248.69300000000001</v>
      </c>
      <c r="AR156" s="40">
        <v>-248.69300000000001</v>
      </c>
      <c r="AS156" s="40" t="s">
        <v>153</v>
      </c>
      <c r="AT156" s="3">
        <v>-450.97199999999998</v>
      </c>
      <c r="AU156" s="3">
        <v>-450.97199999999998</v>
      </c>
      <c r="AV156" s="3">
        <v>-450.97199999999998</v>
      </c>
    </row>
    <row r="157" spans="1:48" ht="15" customHeight="1" x14ac:dyDescent="0.2">
      <c r="B157" s="6" t="s">
        <v>131</v>
      </c>
      <c r="C157" s="7">
        <v>46.218000000000004</v>
      </c>
      <c r="D157" s="7">
        <v>43.951999999999998</v>
      </c>
      <c r="E157" s="7">
        <v>64.870999999999995</v>
      </c>
      <c r="F157" s="7">
        <v>-0.20699999999999999</v>
      </c>
      <c r="G157" s="7">
        <v>-29.789000000000001</v>
      </c>
      <c r="H157" s="7">
        <v>-82.977999999999994</v>
      </c>
      <c r="I157" s="7">
        <v>1.371</v>
      </c>
      <c r="J157" s="7">
        <v>-28.297999999999998</v>
      </c>
      <c r="K157" s="7">
        <v>-50.85</v>
      </c>
      <c r="L157" s="7">
        <v>-69.498000000000005</v>
      </c>
      <c r="M157" s="7">
        <v>-11.23</v>
      </c>
      <c r="N157" s="7">
        <v>-103.16800000000001</v>
      </c>
      <c r="O157" s="7">
        <v>-117.55500000000001</v>
      </c>
      <c r="P157" s="7">
        <v>-179.328</v>
      </c>
      <c r="Q157" s="7">
        <v>-9.9860000000000007</v>
      </c>
      <c r="R157" s="7">
        <v>-51.798999999999999</v>
      </c>
      <c r="S157" s="7">
        <v>-109.797</v>
      </c>
      <c r="T157" s="7">
        <v>-120.571</v>
      </c>
      <c r="U157" s="7">
        <v>66.510000000000005</v>
      </c>
      <c r="V157" s="7">
        <v>-45.792999999999999</v>
      </c>
      <c r="W157" s="7">
        <v>86.328000000000003</v>
      </c>
      <c r="X157" s="7">
        <v>213.148</v>
      </c>
      <c r="Y157" s="7">
        <v>8.3019999999999996</v>
      </c>
      <c r="Z157" s="7">
        <v>64.808999999999997</v>
      </c>
      <c r="AA157" s="7">
        <v>50.622999999999998</v>
      </c>
      <c r="AB157" s="7">
        <v>119.06399999999999</v>
      </c>
      <c r="AC157" s="7">
        <v>-34.347000000000001</v>
      </c>
      <c r="AD157" s="7">
        <v>-97.400999999999996</v>
      </c>
      <c r="AE157" s="7">
        <v>-15.115</v>
      </c>
      <c r="AF157" s="7">
        <v>-120.40900000000001</v>
      </c>
      <c r="AG157" s="7">
        <v>-47.856000000000002</v>
      </c>
      <c r="AH157" s="7">
        <v>-202.785</v>
      </c>
      <c r="AI157" s="7">
        <v>-249.49199999999999</v>
      </c>
      <c r="AJ157" s="7">
        <v>-207.58099999999999</v>
      </c>
      <c r="AK157" s="7">
        <v>-140.22300000000001</v>
      </c>
      <c r="AL157" s="7">
        <v>-137.77699999999999</v>
      </c>
      <c r="AM157" s="7">
        <v>-367.43700000000001</v>
      </c>
      <c r="AN157" s="7">
        <v>-361.85500000000002</v>
      </c>
      <c r="AO157" s="7">
        <v>-113.76</v>
      </c>
      <c r="AP157" s="7">
        <v>-436.37</v>
      </c>
      <c r="AQ157" s="7">
        <v>-614.41200000000003</v>
      </c>
      <c r="AR157" s="7">
        <v>-658.40800000000002</v>
      </c>
      <c r="AS157" s="7">
        <v>-369.649</v>
      </c>
      <c r="AT157" s="7">
        <v>-844.63599999999997</v>
      </c>
      <c r="AU157" s="7">
        <v>-996.31500000000005</v>
      </c>
      <c r="AV157" s="7">
        <v>-946.41200000000003</v>
      </c>
    </row>
    <row r="158" spans="1:48" ht="15" customHeight="1" x14ac:dyDescent="0.2">
      <c r="A158" s="55" t="s">
        <v>164</v>
      </c>
      <c r="B158" s="43" t="s">
        <v>132</v>
      </c>
      <c r="C158" s="44">
        <v>-85.016999999999996</v>
      </c>
      <c r="D158" s="44">
        <v>-103.375</v>
      </c>
      <c r="E158" s="44">
        <v>-49.957000000000001</v>
      </c>
      <c r="F158" s="44">
        <v>22.172999999999998</v>
      </c>
      <c r="G158" s="44">
        <v>41.250999999999998</v>
      </c>
      <c r="H158" s="44">
        <v>52.94</v>
      </c>
      <c r="I158" s="44">
        <v>87.917000000000002</v>
      </c>
      <c r="J158" s="44">
        <v>60.058</v>
      </c>
      <c r="K158" s="44">
        <v>2.68</v>
      </c>
      <c r="L158" s="44">
        <v>195.79400000000001</v>
      </c>
      <c r="M158" s="44">
        <v>85.003</v>
      </c>
      <c r="N158" s="44">
        <v>1.4159999999999999</v>
      </c>
      <c r="O158" s="44">
        <v>-59.002000000000002</v>
      </c>
      <c r="P158" s="44">
        <v>26.204999999999998</v>
      </c>
      <c r="Q158" s="44">
        <v>57.430999999999997</v>
      </c>
      <c r="R158" s="44">
        <v>65.061999999999998</v>
      </c>
      <c r="S158" s="44">
        <v>-97.438000000000002</v>
      </c>
      <c r="T158" s="44">
        <v>294.56299999999999</v>
      </c>
      <c r="U158" s="44">
        <v>122.544</v>
      </c>
      <c r="V158" s="44">
        <v>-109.919</v>
      </c>
      <c r="W158" s="44">
        <v>-208.01</v>
      </c>
      <c r="X158" s="44">
        <v>-8.6080000000000005</v>
      </c>
      <c r="Y158" s="44">
        <v>274.40800000000002</v>
      </c>
      <c r="Z158" s="44">
        <v>54.465000000000003</v>
      </c>
      <c r="AA158" s="44">
        <v>-113.087</v>
      </c>
      <c r="AB158" s="44">
        <v>-7.7039999999999997</v>
      </c>
      <c r="AC158" s="44">
        <v>198.57599999999999</v>
      </c>
      <c r="AD158" s="44">
        <v>149.57400000000001</v>
      </c>
      <c r="AE158" s="44">
        <v>107.688</v>
      </c>
      <c r="AF158" s="44">
        <v>-15.247</v>
      </c>
      <c r="AG158" s="44">
        <v>195.7</v>
      </c>
      <c r="AH158" s="44">
        <v>202.85300000000001</v>
      </c>
      <c r="AI158" s="44">
        <v>149.70400000000001</v>
      </c>
      <c r="AJ158" s="44">
        <v>451.22699999999998</v>
      </c>
      <c r="AK158" s="44">
        <v>1617.8420000000001</v>
      </c>
      <c r="AL158" s="44">
        <v>1467.297</v>
      </c>
      <c r="AM158" s="44">
        <v>1347.2170000000001</v>
      </c>
      <c r="AN158" s="44">
        <v>1502.404</v>
      </c>
      <c r="AO158" s="44">
        <v>774.78399999999999</v>
      </c>
      <c r="AP158" s="44">
        <v>751.72199999999998</v>
      </c>
      <c r="AQ158" s="44">
        <v>1739.769</v>
      </c>
      <c r="AR158" s="44">
        <v>1595.7670000000001</v>
      </c>
      <c r="AS158" s="44">
        <v>-61.174999999999997</v>
      </c>
      <c r="AT158" s="44">
        <v>-289.35000000000002</v>
      </c>
      <c r="AU158" s="44">
        <v>-604.57399999999996</v>
      </c>
      <c r="AV158" s="44">
        <v>-486.97500000000002</v>
      </c>
    </row>
    <row r="161" spans="1:48" ht="20.100000000000001" customHeight="1" x14ac:dyDescent="0.2">
      <c r="B161" s="32" t="s">
        <v>160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</row>
    <row r="162" spans="1:48" x14ac:dyDescent="0.2">
      <c r="B162" s="34" t="s">
        <v>65</v>
      </c>
      <c r="C162" s="35" t="s">
        <v>99</v>
      </c>
      <c r="D162" s="35">
        <v>2008</v>
      </c>
      <c r="E162" s="35" t="s">
        <v>100</v>
      </c>
      <c r="F162" s="35" t="s">
        <v>101</v>
      </c>
      <c r="G162" s="35" t="s">
        <v>102</v>
      </c>
      <c r="H162" s="35">
        <v>2009</v>
      </c>
      <c r="I162" s="35" t="s">
        <v>103</v>
      </c>
      <c r="J162" s="35" t="s">
        <v>104</v>
      </c>
      <c r="K162" s="35" t="s">
        <v>105</v>
      </c>
      <c r="L162" s="35">
        <v>2010</v>
      </c>
      <c r="M162" s="35" t="s">
        <v>106</v>
      </c>
      <c r="N162" s="35" t="s">
        <v>107</v>
      </c>
      <c r="O162" s="35" t="s">
        <v>108</v>
      </c>
      <c r="P162" s="35">
        <v>2011</v>
      </c>
      <c r="Q162" s="35" t="s">
        <v>96</v>
      </c>
      <c r="R162" s="35" t="s">
        <v>97</v>
      </c>
      <c r="S162" s="35" t="s">
        <v>98</v>
      </c>
      <c r="T162" s="35">
        <v>2012</v>
      </c>
      <c r="U162" s="35" t="s">
        <v>93</v>
      </c>
      <c r="V162" s="35" t="s">
        <v>94</v>
      </c>
      <c r="W162" s="35" t="s">
        <v>95</v>
      </c>
      <c r="X162" s="35">
        <v>2013</v>
      </c>
      <c r="Y162" s="35" t="s">
        <v>90</v>
      </c>
      <c r="Z162" s="35" t="s">
        <v>91</v>
      </c>
      <c r="AA162" s="35" t="s">
        <v>92</v>
      </c>
      <c r="AB162" s="35">
        <v>2014</v>
      </c>
      <c r="AC162" s="35" t="s">
        <v>87</v>
      </c>
      <c r="AD162" s="35" t="s">
        <v>88</v>
      </c>
      <c r="AE162" s="35" t="s">
        <v>89</v>
      </c>
      <c r="AF162" s="35">
        <v>2015</v>
      </c>
      <c r="AG162" s="35" t="s">
        <v>84</v>
      </c>
      <c r="AH162" s="35" t="s">
        <v>85</v>
      </c>
      <c r="AI162" s="35" t="s">
        <v>86</v>
      </c>
      <c r="AJ162" s="35">
        <v>2016</v>
      </c>
      <c r="AK162" s="35" t="s">
        <v>83</v>
      </c>
      <c r="AL162" s="35" t="s">
        <v>82</v>
      </c>
      <c r="AM162" s="35" t="s">
        <v>81</v>
      </c>
      <c r="AN162" s="35">
        <v>2017</v>
      </c>
      <c r="AO162" s="35" t="s">
        <v>171</v>
      </c>
      <c r="AP162" s="35" t="s">
        <v>174</v>
      </c>
      <c r="AQ162" s="35" t="s">
        <v>176</v>
      </c>
      <c r="AR162" s="35">
        <v>2018</v>
      </c>
      <c r="AS162" s="35" t="s">
        <v>187</v>
      </c>
      <c r="AT162" s="35" t="s">
        <v>189</v>
      </c>
      <c r="AU162" s="35" t="s">
        <v>192</v>
      </c>
      <c r="AV162" s="35">
        <v>2019</v>
      </c>
    </row>
    <row r="163" spans="1:48" ht="15" customHeight="1" x14ac:dyDescent="0.2">
      <c r="B163" s="24" t="s">
        <v>58</v>
      </c>
      <c r="C163" s="3">
        <v>61.481000000000002</v>
      </c>
      <c r="D163" s="3">
        <v>88.534999999999997</v>
      </c>
      <c r="E163" s="3">
        <v>7.1440000000000001</v>
      </c>
      <c r="F163" s="3">
        <v>8.5060000000000002</v>
      </c>
      <c r="G163" s="3">
        <v>12.901999999999999</v>
      </c>
      <c r="H163" s="3">
        <v>26.481000000000002</v>
      </c>
      <c r="I163" s="3">
        <v>4.2460000000000004</v>
      </c>
      <c r="J163" s="3">
        <v>17.571000000000002</v>
      </c>
      <c r="K163" s="3">
        <v>19.800999999999998</v>
      </c>
      <c r="L163" s="3">
        <v>30.033999999999999</v>
      </c>
      <c r="M163" s="3">
        <v>10.52</v>
      </c>
      <c r="N163" s="3">
        <v>20.530999999999999</v>
      </c>
      <c r="O163" s="3">
        <v>45.960999999999999</v>
      </c>
      <c r="P163" s="3">
        <v>78.453999999999994</v>
      </c>
      <c r="Q163" s="3">
        <v>40.292000000000002</v>
      </c>
      <c r="R163" s="3">
        <v>101.12</v>
      </c>
      <c r="S163" s="3">
        <v>121.785</v>
      </c>
      <c r="T163" s="3">
        <v>142.648</v>
      </c>
      <c r="U163" s="3">
        <v>5.9029999999999996</v>
      </c>
      <c r="V163" s="3">
        <v>13.37</v>
      </c>
      <c r="W163" s="3">
        <v>18.940999999999999</v>
      </c>
      <c r="X163" s="3">
        <v>24.738</v>
      </c>
      <c r="Y163" s="3">
        <v>13.962999999999999</v>
      </c>
      <c r="Z163" s="3">
        <v>17.43</v>
      </c>
      <c r="AA163" s="3">
        <v>19.538</v>
      </c>
      <c r="AB163" s="3">
        <v>27.048999999999999</v>
      </c>
      <c r="AC163" s="3">
        <v>5.1779999999999999</v>
      </c>
      <c r="AD163" s="3">
        <v>9.6460000000000008</v>
      </c>
      <c r="AE163" s="3">
        <v>15.641</v>
      </c>
      <c r="AF163" s="3">
        <v>17.289000000000001</v>
      </c>
      <c r="AG163" s="3">
        <v>2.7320000000000002</v>
      </c>
      <c r="AH163" s="3">
        <v>7.37</v>
      </c>
      <c r="AI163" s="3">
        <v>12.891</v>
      </c>
      <c r="AJ163" s="3">
        <v>45.73</v>
      </c>
      <c r="AK163" s="3">
        <v>21.532</v>
      </c>
      <c r="AL163" s="3">
        <v>48.997</v>
      </c>
      <c r="AM163" s="3">
        <v>66.617000000000004</v>
      </c>
      <c r="AN163" s="3">
        <v>167.935</v>
      </c>
      <c r="AO163" s="3">
        <v>35.137999999999998</v>
      </c>
      <c r="AP163" s="3">
        <v>61.42</v>
      </c>
      <c r="AQ163" s="3">
        <v>132.25200000000001</v>
      </c>
      <c r="AR163" s="59">
        <v>186.54400000000001</v>
      </c>
      <c r="AS163" s="3">
        <v>32.511000000000003</v>
      </c>
      <c r="AT163" s="3">
        <v>51.883000000000003</v>
      </c>
      <c r="AU163" s="3">
        <v>64.004999999999995</v>
      </c>
      <c r="AV163" s="3">
        <v>107.72</v>
      </c>
    </row>
    <row r="164" spans="1:48" ht="15" customHeight="1" x14ac:dyDescent="0.2">
      <c r="B164" s="24" t="s">
        <v>74</v>
      </c>
      <c r="C164" s="3">
        <v>8.0660000000000007</v>
      </c>
      <c r="D164" s="3">
        <v>17.268999999999998</v>
      </c>
      <c r="E164" s="3">
        <v>0.498</v>
      </c>
      <c r="F164" s="3">
        <v>2.99</v>
      </c>
      <c r="G164" s="3">
        <v>14.741</v>
      </c>
      <c r="H164" s="3">
        <v>15.272</v>
      </c>
      <c r="I164" s="3">
        <v>3.931</v>
      </c>
      <c r="J164" s="3">
        <v>5.242</v>
      </c>
      <c r="K164" s="3">
        <v>7.1790000000000003</v>
      </c>
      <c r="L164" s="3">
        <v>10.198</v>
      </c>
      <c r="M164" s="3">
        <v>0.53200000000000003</v>
      </c>
      <c r="N164" s="3">
        <v>2.9830000000000001</v>
      </c>
      <c r="O164" s="3">
        <v>5.62</v>
      </c>
      <c r="P164" s="3">
        <v>11.366</v>
      </c>
      <c r="Q164" s="3">
        <v>7.0119999999999996</v>
      </c>
      <c r="R164" s="3">
        <v>10.811999999999999</v>
      </c>
      <c r="S164" s="3">
        <v>23.001999999999999</v>
      </c>
      <c r="T164" s="3">
        <v>49.938000000000002</v>
      </c>
      <c r="U164" s="3">
        <v>6.6719999999999997</v>
      </c>
      <c r="V164" s="3">
        <v>39.783999999999999</v>
      </c>
      <c r="W164" s="3">
        <v>77.653000000000006</v>
      </c>
      <c r="X164" s="3">
        <v>158.38900000000001</v>
      </c>
      <c r="Y164" s="3">
        <v>78.991</v>
      </c>
      <c r="Z164" s="3">
        <v>207.65100000000001</v>
      </c>
      <c r="AA164" s="3">
        <v>298.45600000000002</v>
      </c>
      <c r="AB164" s="3">
        <v>371.202</v>
      </c>
      <c r="AC164" s="3">
        <v>75.608999999999995</v>
      </c>
      <c r="AD164" s="3">
        <v>144.66300000000001</v>
      </c>
      <c r="AE164" s="3">
        <v>254.13399999999999</v>
      </c>
      <c r="AF164" s="3">
        <v>275.00799999999998</v>
      </c>
      <c r="AG164" s="3">
        <v>33.65</v>
      </c>
      <c r="AH164" s="3">
        <v>72.908000000000001</v>
      </c>
      <c r="AI164" s="3">
        <v>86.647000000000006</v>
      </c>
      <c r="AJ164" s="3">
        <v>119.98399999999999</v>
      </c>
      <c r="AK164" s="3">
        <v>4.9279999999999999</v>
      </c>
      <c r="AL164" s="3">
        <v>34.457999999999998</v>
      </c>
      <c r="AM164" s="3">
        <v>42.307000000000002</v>
      </c>
      <c r="AN164" s="3">
        <v>61.087000000000003</v>
      </c>
      <c r="AO164" s="3">
        <v>1.3420000000000001</v>
      </c>
      <c r="AP164" s="3">
        <v>15.141</v>
      </c>
      <c r="AQ164" s="3">
        <v>43.593000000000004</v>
      </c>
      <c r="AR164" s="59">
        <v>71.542000000000002</v>
      </c>
      <c r="AS164" s="3">
        <v>24.629000000000001</v>
      </c>
      <c r="AT164" s="3">
        <v>54.298999999999999</v>
      </c>
      <c r="AU164" s="3">
        <v>88.171000000000006</v>
      </c>
      <c r="AV164" s="3">
        <v>166.96700000000001</v>
      </c>
    </row>
    <row r="165" spans="1:48" ht="15" customHeight="1" x14ac:dyDescent="0.2">
      <c r="B165" s="24" t="s">
        <v>75</v>
      </c>
      <c r="C165" s="3">
        <v>8.8260000000000005</v>
      </c>
      <c r="D165" s="3">
        <v>15.773999999999999</v>
      </c>
      <c r="E165" s="62">
        <v>0.10199999999999999</v>
      </c>
      <c r="F165" s="3">
        <v>0.20899999999999999</v>
      </c>
      <c r="G165" s="3">
        <v>0.64600000000000002</v>
      </c>
      <c r="H165" s="3">
        <v>0.68899999999999995</v>
      </c>
      <c r="I165" s="3">
        <v>2.1000000000000001E-2</v>
      </c>
      <c r="J165" s="3">
        <v>0.16600000000000001</v>
      </c>
      <c r="K165" s="3">
        <v>0.184</v>
      </c>
      <c r="L165" s="3">
        <v>0.214</v>
      </c>
      <c r="M165" s="3">
        <v>0.01</v>
      </c>
      <c r="N165" s="3">
        <v>5.8000000000000003E-2</v>
      </c>
      <c r="O165" s="3">
        <v>0.19800000000000001</v>
      </c>
      <c r="P165" s="3">
        <v>0.25600000000000001</v>
      </c>
      <c r="Q165" s="3">
        <v>6.0999999999999999E-2</v>
      </c>
      <c r="R165" s="3">
        <v>0.25800000000000001</v>
      </c>
      <c r="S165" s="3">
        <v>0.25800000000000001</v>
      </c>
      <c r="T165" s="3">
        <v>0.32600000000000001</v>
      </c>
      <c r="U165" s="3">
        <v>4.2999999999999997E-2</v>
      </c>
      <c r="V165" s="3">
        <v>0.26800000000000002</v>
      </c>
      <c r="W165" s="3">
        <v>0.317</v>
      </c>
      <c r="X165" s="3">
        <v>0.35599999999999998</v>
      </c>
      <c r="Y165" s="3">
        <v>9.2999999999999999E-2</v>
      </c>
      <c r="Z165" s="3">
        <v>0.34100000000000003</v>
      </c>
      <c r="AA165" s="3">
        <v>0.98799999999999999</v>
      </c>
      <c r="AB165" s="3">
        <v>2.5939999999999999</v>
      </c>
      <c r="AC165" s="3">
        <v>0.443</v>
      </c>
      <c r="AD165" s="3">
        <v>0.69899999999999995</v>
      </c>
      <c r="AE165" s="3">
        <v>1.5269999999999999</v>
      </c>
      <c r="AF165" s="3">
        <v>1.927</v>
      </c>
      <c r="AG165" s="3">
        <v>0.13900000000000001</v>
      </c>
      <c r="AH165" s="3">
        <v>37.454999999999998</v>
      </c>
      <c r="AI165" s="3">
        <v>38.58</v>
      </c>
      <c r="AJ165" s="3">
        <v>2.577</v>
      </c>
      <c r="AK165" s="3">
        <v>0.318</v>
      </c>
      <c r="AL165" s="3">
        <v>0.34799999999999998</v>
      </c>
      <c r="AM165" s="3">
        <v>0.498</v>
      </c>
      <c r="AN165" s="3">
        <v>0.64200000000000002</v>
      </c>
      <c r="AO165" s="3">
        <v>0.28299999999999997</v>
      </c>
      <c r="AP165" s="3">
        <v>0.44400000000000001</v>
      </c>
      <c r="AQ165" s="3">
        <v>0.54</v>
      </c>
      <c r="AR165" s="59">
        <v>0.55100000000000005</v>
      </c>
      <c r="AS165" s="3">
        <v>4.4999999999999998E-2</v>
      </c>
      <c r="AT165" s="3">
        <v>4.8000000000000001E-2</v>
      </c>
      <c r="AU165" s="3">
        <v>5.2999999999999999E-2</v>
      </c>
      <c r="AV165" s="73"/>
    </row>
    <row r="166" spans="1:48" ht="15" customHeight="1" x14ac:dyDescent="0.2">
      <c r="B166" s="24" t="s">
        <v>76</v>
      </c>
      <c r="C166" s="3">
        <v>5.4320000000000004</v>
      </c>
      <c r="D166" s="3">
        <v>11.81</v>
      </c>
      <c r="E166" s="3">
        <v>8.3000000000000004E-2</v>
      </c>
      <c r="F166" s="3">
        <v>0.56699999999999995</v>
      </c>
      <c r="G166" s="3">
        <v>0.82199999999999995</v>
      </c>
      <c r="H166" s="3">
        <v>0.88600000000000001</v>
      </c>
      <c r="I166" s="3">
        <v>13.019</v>
      </c>
      <c r="J166" s="3">
        <v>13.111000000000001</v>
      </c>
      <c r="K166" s="3">
        <v>13.242000000000001</v>
      </c>
      <c r="L166" s="3">
        <v>13.489000000000001</v>
      </c>
      <c r="M166" s="3">
        <v>0.22600000000000001</v>
      </c>
      <c r="N166" s="3">
        <v>1.026</v>
      </c>
      <c r="O166" s="3">
        <v>4.3789999999999996</v>
      </c>
      <c r="P166" s="3">
        <v>6.4409999999999998</v>
      </c>
      <c r="Q166" s="3">
        <v>9.9000000000000005E-2</v>
      </c>
      <c r="R166" s="3">
        <v>0.30399999999999999</v>
      </c>
      <c r="S166" s="3">
        <v>0.312</v>
      </c>
      <c r="T166" s="3">
        <v>0.42199999999999999</v>
      </c>
      <c r="U166" s="3">
        <v>0.05</v>
      </c>
      <c r="V166" s="3">
        <v>0.57199999999999995</v>
      </c>
      <c r="W166" s="3">
        <v>0.6</v>
      </c>
      <c r="X166" s="3">
        <v>0.64300000000000002</v>
      </c>
      <c r="Y166" s="3">
        <v>0.26200000000000001</v>
      </c>
      <c r="Z166" s="3">
        <v>0.39</v>
      </c>
      <c r="AA166" s="3">
        <v>0.4</v>
      </c>
      <c r="AB166" s="3">
        <v>0.61599999999999999</v>
      </c>
      <c r="AC166" s="3">
        <v>0.115</v>
      </c>
      <c r="AD166" s="3">
        <v>0.85299999999999998</v>
      </c>
      <c r="AE166" s="3">
        <v>1.5209999999999999</v>
      </c>
      <c r="AF166" s="3">
        <v>1.859</v>
      </c>
      <c r="AG166" s="3">
        <v>5.6000000000000001E-2</v>
      </c>
      <c r="AH166" s="3">
        <v>0.60299999999999998</v>
      </c>
      <c r="AI166" s="3">
        <v>0.627</v>
      </c>
      <c r="AJ166" s="3">
        <v>1.3620000000000001</v>
      </c>
      <c r="AK166" s="3">
        <v>0.127</v>
      </c>
      <c r="AL166" s="3">
        <v>1.79</v>
      </c>
      <c r="AM166" s="3">
        <v>2.1</v>
      </c>
      <c r="AN166" s="3">
        <v>3.0670000000000002</v>
      </c>
      <c r="AO166" s="3">
        <v>0.62</v>
      </c>
      <c r="AP166" s="3">
        <v>1.171</v>
      </c>
      <c r="AQ166" s="3">
        <v>2.0110000000000001</v>
      </c>
      <c r="AR166" s="59">
        <v>3.875</v>
      </c>
      <c r="AS166" s="3">
        <v>1.405</v>
      </c>
      <c r="AT166" s="3">
        <v>9.3010000000000002</v>
      </c>
      <c r="AU166" s="3">
        <v>11.746</v>
      </c>
      <c r="AV166" s="3">
        <v>17.097000000000001</v>
      </c>
    </row>
    <row r="167" spans="1:48" ht="15" customHeight="1" x14ac:dyDescent="0.2">
      <c r="B167" s="43" t="s">
        <v>161</v>
      </c>
      <c r="C167" s="44">
        <f t="shared" ref="C167:AQ167" si="253">+SUM(C163:C166)</f>
        <v>83.804999999999993</v>
      </c>
      <c r="D167" s="44">
        <f t="shared" si="253"/>
        <v>133.38800000000001</v>
      </c>
      <c r="E167" s="44">
        <f t="shared" si="253"/>
        <v>7.8270000000000008</v>
      </c>
      <c r="F167" s="44">
        <f t="shared" si="253"/>
        <v>12.272</v>
      </c>
      <c r="G167" s="44">
        <f t="shared" si="253"/>
        <v>29.111000000000001</v>
      </c>
      <c r="H167" s="44">
        <f t="shared" si="253"/>
        <v>43.328000000000003</v>
      </c>
      <c r="I167" s="44">
        <f t="shared" si="253"/>
        <v>21.216999999999999</v>
      </c>
      <c r="J167" s="44">
        <f t="shared" si="253"/>
        <v>36.090000000000003</v>
      </c>
      <c r="K167" s="44">
        <f t="shared" si="253"/>
        <v>40.405999999999999</v>
      </c>
      <c r="L167" s="44">
        <f t="shared" si="253"/>
        <v>53.935000000000002</v>
      </c>
      <c r="M167" s="44">
        <f t="shared" si="253"/>
        <v>11.288</v>
      </c>
      <c r="N167" s="44">
        <f t="shared" si="253"/>
        <v>24.597999999999999</v>
      </c>
      <c r="O167" s="44">
        <f t="shared" si="253"/>
        <v>56.157999999999994</v>
      </c>
      <c r="P167" s="44">
        <f t="shared" si="253"/>
        <v>96.516999999999996</v>
      </c>
      <c r="Q167" s="44">
        <f t="shared" si="253"/>
        <v>47.463999999999999</v>
      </c>
      <c r="R167" s="44">
        <f t="shared" si="253"/>
        <v>112.494</v>
      </c>
      <c r="S167" s="44">
        <f t="shared" si="253"/>
        <v>145.35700000000003</v>
      </c>
      <c r="T167" s="44">
        <f t="shared" si="253"/>
        <v>193.334</v>
      </c>
      <c r="U167" s="44">
        <f t="shared" si="253"/>
        <v>12.667999999999999</v>
      </c>
      <c r="V167" s="44">
        <f t="shared" si="253"/>
        <v>53.994</v>
      </c>
      <c r="W167" s="44">
        <f t="shared" si="253"/>
        <v>97.510999999999996</v>
      </c>
      <c r="X167" s="44">
        <f t="shared" si="253"/>
        <v>184.126</v>
      </c>
      <c r="Y167" s="44">
        <f t="shared" si="253"/>
        <v>93.308999999999997</v>
      </c>
      <c r="Z167" s="44">
        <f t="shared" si="253"/>
        <v>225.81200000000001</v>
      </c>
      <c r="AA167" s="44">
        <f t="shared" si="253"/>
        <v>319.38200000000001</v>
      </c>
      <c r="AB167" s="44">
        <f t="shared" si="253"/>
        <v>401.46099999999996</v>
      </c>
      <c r="AC167" s="44">
        <f t="shared" si="253"/>
        <v>81.344999999999985</v>
      </c>
      <c r="AD167" s="44">
        <f t="shared" si="253"/>
        <v>155.86100000000005</v>
      </c>
      <c r="AE167" s="44">
        <f t="shared" si="253"/>
        <v>272.82299999999998</v>
      </c>
      <c r="AF167" s="44">
        <f t="shared" si="253"/>
        <v>296.08299999999997</v>
      </c>
      <c r="AG167" s="44">
        <f t="shared" si="253"/>
        <v>36.576999999999998</v>
      </c>
      <c r="AH167" s="44">
        <f t="shared" si="253"/>
        <v>118.336</v>
      </c>
      <c r="AI167" s="44">
        <f t="shared" si="253"/>
        <v>138.745</v>
      </c>
      <c r="AJ167" s="44">
        <f t="shared" si="253"/>
        <v>169.65299999999999</v>
      </c>
      <c r="AK167" s="44">
        <f t="shared" si="253"/>
        <v>26.905000000000001</v>
      </c>
      <c r="AL167" s="44">
        <f t="shared" si="253"/>
        <v>85.593000000000004</v>
      </c>
      <c r="AM167" s="44">
        <f t="shared" si="253"/>
        <v>111.52200000000001</v>
      </c>
      <c r="AN167" s="44">
        <f t="shared" si="253"/>
        <v>232.73099999999999</v>
      </c>
      <c r="AO167" s="44">
        <f t="shared" si="253"/>
        <v>37.382999999999996</v>
      </c>
      <c r="AP167" s="44">
        <f t="shared" si="253"/>
        <v>78.176000000000016</v>
      </c>
      <c r="AQ167" s="44">
        <f t="shared" si="253"/>
        <v>178.39600000000002</v>
      </c>
      <c r="AR167" s="75">
        <v>261.96100000000001</v>
      </c>
      <c r="AS167" s="44">
        <v>58.59</v>
      </c>
      <c r="AT167" s="44">
        <v>115.53100000000001</v>
      </c>
      <c r="AU167" s="44">
        <v>163.97499999999999</v>
      </c>
      <c r="AV167" s="44">
        <v>291.78399999999999</v>
      </c>
    </row>
    <row r="168" spans="1:48" ht="15" customHeight="1" x14ac:dyDescent="0.2">
      <c r="B168" s="24" t="s">
        <v>58</v>
      </c>
      <c r="C168" s="3">
        <v>47.070999999999998</v>
      </c>
      <c r="D168" s="3">
        <v>62.618000000000002</v>
      </c>
      <c r="E168" s="3">
        <v>18.119</v>
      </c>
      <c r="F168" s="3">
        <v>33.78</v>
      </c>
      <c r="G168" s="3">
        <v>48.304000000000002</v>
      </c>
      <c r="H168" s="3">
        <v>61.545000000000002</v>
      </c>
      <c r="I168" s="3">
        <v>15.007999999999999</v>
      </c>
      <c r="J168" s="3">
        <v>27.925999999999998</v>
      </c>
      <c r="K168" s="3">
        <v>40.883000000000003</v>
      </c>
      <c r="L168" s="3">
        <v>53.814</v>
      </c>
      <c r="M168" s="3">
        <v>12.199</v>
      </c>
      <c r="N168" s="3">
        <v>23.791</v>
      </c>
      <c r="O168" s="3">
        <v>39.164000000000001</v>
      </c>
      <c r="P168" s="3">
        <v>55.837000000000003</v>
      </c>
      <c r="Q168" s="3">
        <v>16.725000000000001</v>
      </c>
      <c r="R168" s="3">
        <v>34.414000000000001</v>
      </c>
      <c r="S168" s="3">
        <v>53.776000000000003</v>
      </c>
      <c r="T168" s="3">
        <v>71.864999999999995</v>
      </c>
      <c r="U168" s="3">
        <v>14.324999999999999</v>
      </c>
      <c r="V168" s="3">
        <v>28.765000000000001</v>
      </c>
      <c r="W168" s="3">
        <v>45.478999999999999</v>
      </c>
      <c r="X168" s="3">
        <v>61.579000000000001</v>
      </c>
      <c r="Y168" s="3">
        <v>17.652000000000001</v>
      </c>
      <c r="Z168" s="3">
        <v>34.045000000000002</v>
      </c>
      <c r="AA168" s="3">
        <v>49.232999999999997</v>
      </c>
      <c r="AB168" s="3">
        <v>64.132999999999996</v>
      </c>
      <c r="AC168" s="3">
        <v>16.364000000000001</v>
      </c>
      <c r="AD168" s="3">
        <v>37.023000000000003</v>
      </c>
      <c r="AE168" s="3">
        <v>55.456000000000003</v>
      </c>
      <c r="AF168" s="3">
        <v>73.974999999999994</v>
      </c>
      <c r="AG168" s="3">
        <v>16.934000000000001</v>
      </c>
      <c r="AH168" s="3">
        <v>31.26</v>
      </c>
      <c r="AI168" s="3">
        <v>45.305</v>
      </c>
      <c r="AJ168" s="3">
        <v>60.593000000000004</v>
      </c>
      <c r="AK168" s="3">
        <v>15.353999999999999</v>
      </c>
      <c r="AL168" s="3">
        <v>32.712000000000003</v>
      </c>
      <c r="AM168" s="3">
        <v>50.082999999999998</v>
      </c>
      <c r="AN168" s="3">
        <v>70.751000000000005</v>
      </c>
      <c r="AO168" s="3">
        <v>21.279</v>
      </c>
      <c r="AP168" s="3">
        <v>46.05</v>
      </c>
      <c r="AQ168" s="3">
        <v>79.602000000000004</v>
      </c>
      <c r="AR168" s="59">
        <v>117.54900000000001</v>
      </c>
      <c r="AS168" s="3">
        <v>39.792999999999999</v>
      </c>
      <c r="AT168" s="3">
        <v>97.843999999999994</v>
      </c>
      <c r="AU168" s="3">
        <v>147.16800000000001</v>
      </c>
      <c r="AV168" s="3">
        <v>195.626</v>
      </c>
    </row>
    <row r="169" spans="1:48" ht="15" customHeight="1" x14ac:dyDescent="0.2">
      <c r="B169" s="24" t="s">
        <v>74</v>
      </c>
      <c r="C169" s="3">
        <v>13.959</v>
      </c>
      <c r="D169" s="3">
        <v>21.581</v>
      </c>
      <c r="E169" s="3">
        <v>4.593</v>
      </c>
      <c r="F169" s="3">
        <v>9.1920000000000002</v>
      </c>
      <c r="G169" s="3">
        <v>13.683</v>
      </c>
      <c r="H169" s="3">
        <v>17.655999999999999</v>
      </c>
      <c r="I169" s="3">
        <v>5.0609999999999999</v>
      </c>
      <c r="J169" s="3">
        <v>7.3840000000000003</v>
      </c>
      <c r="K169" s="3">
        <v>11.003</v>
      </c>
      <c r="L169" s="3">
        <v>13.975</v>
      </c>
      <c r="M169" s="3">
        <v>3.3260000000000001</v>
      </c>
      <c r="N169" s="3">
        <v>6.7560000000000002</v>
      </c>
      <c r="O169" s="3">
        <v>10.414</v>
      </c>
      <c r="P169" s="3">
        <v>13.975</v>
      </c>
      <c r="Q169" s="3">
        <v>2.6469999999999998</v>
      </c>
      <c r="R169" s="3">
        <v>6.5529999999999999</v>
      </c>
      <c r="S169" s="3">
        <v>10.093999999999999</v>
      </c>
      <c r="T169" s="3">
        <v>13.512</v>
      </c>
      <c r="U169" s="3">
        <v>3.03</v>
      </c>
      <c r="V169" s="3">
        <v>6.931</v>
      </c>
      <c r="W169" s="3">
        <v>10.815</v>
      </c>
      <c r="X169" s="3">
        <v>15.693</v>
      </c>
      <c r="Y169" s="3">
        <v>2.2799999999999998</v>
      </c>
      <c r="Z169" s="3">
        <v>11.808999999999999</v>
      </c>
      <c r="AA169" s="3">
        <v>16.195</v>
      </c>
      <c r="AB169" s="3">
        <v>21.114000000000001</v>
      </c>
      <c r="AC169" s="3">
        <v>6.8639999999999999</v>
      </c>
      <c r="AD169" s="3">
        <v>12.996</v>
      </c>
      <c r="AE169" s="3">
        <v>17.561</v>
      </c>
      <c r="AF169" s="3">
        <v>21.513999999999999</v>
      </c>
      <c r="AG169" s="3">
        <v>13.778</v>
      </c>
      <c r="AH169" s="3">
        <v>22.126000000000001</v>
      </c>
      <c r="AI169" s="3">
        <v>36.058</v>
      </c>
      <c r="AJ169" s="3">
        <v>48.872999999999998</v>
      </c>
      <c r="AK169" s="3">
        <v>18.079999999999998</v>
      </c>
      <c r="AL169" s="3">
        <v>28.393000000000001</v>
      </c>
      <c r="AM169" s="3">
        <v>45.143999999999998</v>
      </c>
      <c r="AN169" s="3">
        <v>60.228000000000002</v>
      </c>
      <c r="AO169" s="3">
        <v>20.527000000000001</v>
      </c>
      <c r="AP169" s="3">
        <v>34.646999999999998</v>
      </c>
      <c r="AQ169" s="3">
        <v>51.792999999999999</v>
      </c>
      <c r="AR169" s="59">
        <v>67.397000000000006</v>
      </c>
      <c r="AS169" s="3">
        <v>22.853000000000002</v>
      </c>
      <c r="AT169" s="3">
        <v>41.866999999999997</v>
      </c>
      <c r="AU169" s="3">
        <v>59.436999999999998</v>
      </c>
      <c r="AV169" s="3">
        <v>86.021000000000001</v>
      </c>
    </row>
    <row r="170" spans="1:48" ht="15" customHeight="1" x14ac:dyDescent="0.2">
      <c r="B170" s="24" t="s">
        <v>75</v>
      </c>
      <c r="C170" s="3">
        <v>0.25800000000000001</v>
      </c>
      <c r="D170" s="3">
        <v>0.34399999999999997</v>
      </c>
      <c r="E170" s="3">
        <v>9.1999999999999998E-2</v>
      </c>
      <c r="F170" s="3">
        <v>0.188</v>
      </c>
      <c r="G170" s="3">
        <v>0.28199999999999997</v>
      </c>
      <c r="H170" s="3">
        <v>0.39200000000000002</v>
      </c>
      <c r="I170" s="3">
        <v>0.107</v>
      </c>
      <c r="J170" s="3">
        <v>0.216</v>
      </c>
      <c r="K170" s="3">
        <v>0.32</v>
      </c>
      <c r="L170" s="3">
        <v>0.47499999999999998</v>
      </c>
      <c r="M170" s="3">
        <v>0.111</v>
      </c>
      <c r="N170" s="3">
        <v>0.11899999999999999</v>
      </c>
      <c r="O170" s="3">
        <v>0.188</v>
      </c>
      <c r="P170" s="3">
        <v>0.26100000000000001</v>
      </c>
      <c r="Q170" s="3">
        <v>6.0999999999999999E-2</v>
      </c>
      <c r="R170" s="3">
        <v>0.13100000000000001</v>
      </c>
      <c r="S170" s="3">
        <v>0.23100000000000001</v>
      </c>
      <c r="T170" s="3">
        <v>0.28999999999999998</v>
      </c>
      <c r="U170" s="3">
        <v>6.2E-2</v>
      </c>
      <c r="V170" s="3">
        <v>0.13600000000000001</v>
      </c>
      <c r="W170" s="3">
        <v>0.20699999999999999</v>
      </c>
      <c r="X170" s="3">
        <v>0.28699999999999998</v>
      </c>
      <c r="Y170" s="3">
        <v>7.3999999999999996E-2</v>
      </c>
      <c r="Z170" s="3">
        <v>0.15</v>
      </c>
      <c r="AA170" s="3">
        <v>0.24199999999999999</v>
      </c>
      <c r="AB170" s="3">
        <v>0.37</v>
      </c>
      <c r="AC170" s="3">
        <v>0.159</v>
      </c>
      <c r="AD170" s="3">
        <v>0.33200000000000002</v>
      </c>
      <c r="AE170" s="3">
        <v>0.502</v>
      </c>
      <c r="AF170" s="3">
        <v>0.67700000000000005</v>
      </c>
      <c r="AG170" s="3">
        <v>0.182</v>
      </c>
      <c r="AH170" s="3">
        <v>0.36699999999999999</v>
      </c>
      <c r="AI170" s="3">
        <v>0.57499999999999996</v>
      </c>
      <c r="AJ170" s="3">
        <v>0.871</v>
      </c>
      <c r="AK170" s="3">
        <v>0.26900000000000002</v>
      </c>
      <c r="AL170" s="3">
        <v>0.52800000000000002</v>
      </c>
      <c r="AM170" s="3">
        <v>0.77500000000000002</v>
      </c>
      <c r="AN170" s="3">
        <v>1.994</v>
      </c>
      <c r="AO170" s="3">
        <v>0.29299999999999998</v>
      </c>
      <c r="AP170" s="3">
        <v>0.65200000000000002</v>
      </c>
      <c r="AQ170" s="3">
        <v>0.96699999999999997</v>
      </c>
      <c r="AR170" s="59">
        <v>1.367</v>
      </c>
      <c r="AS170" s="3">
        <v>0.42699999999999999</v>
      </c>
      <c r="AT170" s="3">
        <v>0.88</v>
      </c>
      <c r="AU170" s="3">
        <v>1.3009999999999999</v>
      </c>
      <c r="AV170" s="73"/>
    </row>
    <row r="171" spans="1:48" ht="15" customHeight="1" x14ac:dyDescent="0.2">
      <c r="B171" s="24" t="s">
        <v>76</v>
      </c>
      <c r="C171" s="3">
        <v>3.3462000000000001</v>
      </c>
      <c r="D171" s="3">
        <v>5.3869999999999996</v>
      </c>
      <c r="E171" s="3">
        <v>1.2689999999999999</v>
      </c>
      <c r="F171" s="3">
        <v>2.4380000000000002</v>
      </c>
      <c r="G171" s="3">
        <v>3.2650000000000001</v>
      </c>
      <c r="H171" s="3">
        <v>4.8949999999999996</v>
      </c>
      <c r="I171" s="3">
        <v>1.2669999999999999</v>
      </c>
      <c r="J171" s="3">
        <v>2.44</v>
      </c>
      <c r="K171" s="3">
        <v>3.5840000000000001</v>
      </c>
      <c r="L171" s="3">
        <v>4.8109999999999999</v>
      </c>
      <c r="M171" s="3">
        <v>1.242</v>
      </c>
      <c r="N171" s="3">
        <v>2.4300000000000002</v>
      </c>
      <c r="O171" s="3">
        <v>3.742</v>
      </c>
      <c r="P171" s="3">
        <v>5.0250000000000004</v>
      </c>
      <c r="Q171" s="3">
        <v>1.2989999999999999</v>
      </c>
      <c r="R171" s="3">
        <v>2.5630000000000002</v>
      </c>
      <c r="S171" s="3">
        <v>3.9380000000000002</v>
      </c>
      <c r="T171" s="3">
        <v>5.2720000000000002</v>
      </c>
      <c r="U171" s="3">
        <v>1.2649999999999999</v>
      </c>
      <c r="V171" s="3">
        <v>2.4670000000000001</v>
      </c>
      <c r="W171" s="3">
        <v>3.698</v>
      </c>
      <c r="X171" s="3">
        <v>4.9409999999999998</v>
      </c>
      <c r="Y171" s="3">
        <v>1.1140000000000001</v>
      </c>
      <c r="Z171" s="3">
        <v>2.1890000000000001</v>
      </c>
      <c r="AA171" s="3">
        <v>3.2829999999999999</v>
      </c>
      <c r="AB171" s="3">
        <v>4.38</v>
      </c>
      <c r="AC171" s="3">
        <v>1.1180000000000001</v>
      </c>
      <c r="AD171" s="3">
        <v>2.1440000000000001</v>
      </c>
      <c r="AE171" s="3">
        <v>3.3530000000000002</v>
      </c>
      <c r="AF171" s="3">
        <v>4.4409999999999998</v>
      </c>
      <c r="AG171" s="3">
        <v>1.0740000000000001</v>
      </c>
      <c r="AH171" s="3">
        <v>2.1160000000000001</v>
      </c>
      <c r="AI171" s="3">
        <v>3.0870000000000002</v>
      </c>
      <c r="AJ171" s="3">
        <v>4.0590000000000002</v>
      </c>
      <c r="AK171" s="3">
        <v>0.97399999999999998</v>
      </c>
      <c r="AL171" s="3">
        <v>1.9630000000000001</v>
      </c>
      <c r="AM171" s="3">
        <v>2.984</v>
      </c>
      <c r="AN171" s="3">
        <v>4.0220000000000002</v>
      </c>
      <c r="AO171" s="3">
        <v>1.0549999999999999</v>
      </c>
      <c r="AP171" s="3">
        <v>2.1259999999999999</v>
      </c>
      <c r="AQ171" s="3">
        <v>3.2509999999999999</v>
      </c>
      <c r="AR171" s="3">
        <v>4.96</v>
      </c>
      <c r="AS171" s="3">
        <v>1.365</v>
      </c>
      <c r="AT171" s="3">
        <v>2.9449999999999998</v>
      </c>
      <c r="AU171" s="3">
        <v>4.641</v>
      </c>
      <c r="AV171" s="3">
        <v>7.4610000000000003</v>
      </c>
    </row>
    <row r="172" spans="1:48" ht="15" customHeight="1" x14ac:dyDescent="0.2">
      <c r="A172" s="55" t="s">
        <v>164</v>
      </c>
      <c r="B172" s="43" t="s">
        <v>162</v>
      </c>
      <c r="C172" s="44">
        <f t="shared" ref="C172:AQ172" si="254">+SUM(C168:C171)</f>
        <v>64.634200000000007</v>
      </c>
      <c r="D172" s="44">
        <f t="shared" si="254"/>
        <v>89.929999999999993</v>
      </c>
      <c r="E172" s="44">
        <f t="shared" si="254"/>
        <v>24.072999999999997</v>
      </c>
      <c r="F172" s="44">
        <f t="shared" si="254"/>
        <v>45.598000000000006</v>
      </c>
      <c r="G172" s="44">
        <f t="shared" si="254"/>
        <v>65.533999999999992</v>
      </c>
      <c r="H172" s="44">
        <f t="shared" si="254"/>
        <v>84.487999999999985</v>
      </c>
      <c r="I172" s="44">
        <f t="shared" si="254"/>
        <v>21.442999999999998</v>
      </c>
      <c r="J172" s="44">
        <f t="shared" si="254"/>
        <v>37.966000000000001</v>
      </c>
      <c r="K172" s="44">
        <f t="shared" si="254"/>
        <v>55.790000000000006</v>
      </c>
      <c r="L172" s="44">
        <f t="shared" si="254"/>
        <v>73.074999999999989</v>
      </c>
      <c r="M172" s="44">
        <f t="shared" si="254"/>
        <v>16.878</v>
      </c>
      <c r="N172" s="44">
        <f t="shared" si="254"/>
        <v>33.096000000000004</v>
      </c>
      <c r="O172" s="44">
        <f t="shared" si="254"/>
        <v>53.508000000000003</v>
      </c>
      <c r="P172" s="44">
        <f t="shared" si="254"/>
        <v>75.097999999999999</v>
      </c>
      <c r="Q172" s="44">
        <f t="shared" si="254"/>
        <v>20.731999999999999</v>
      </c>
      <c r="R172" s="44">
        <f t="shared" si="254"/>
        <v>43.661000000000001</v>
      </c>
      <c r="S172" s="44">
        <f t="shared" si="254"/>
        <v>68.039000000000001</v>
      </c>
      <c r="T172" s="44">
        <f t="shared" si="254"/>
        <v>90.939000000000007</v>
      </c>
      <c r="U172" s="44">
        <f t="shared" si="254"/>
        <v>18.682000000000002</v>
      </c>
      <c r="V172" s="44">
        <f t="shared" si="254"/>
        <v>38.298999999999999</v>
      </c>
      <c r="W172" s="44">
        <f t="shared" si="254"/>
        <v>60.198999999999998</v>
      </c>
      <c r="X172" s="44">
        <f t="shared" si="254"/>
        <v>82.500000000000014</v>
      </c>
      <c r="Y172" s="44">
        <f t="shared" si="254"/>
        <v>21.120000000000005</v>
      </c>
      <c r="Z172" s="44">
        <f t="shared" si="254"/>
        <v>48.192999999999998</v>
      </c>
      <c r="AA172" s="44">
        <f t="shared" si="254"/>
        <v>68.953000000000003</v>
      </c>
      <c r="AB172" s="44">
        <f t="shared" si="254"/>
        <v>89.997</v>
      </c>
      <c r="AC172" s="44">
        <f t="shared" si="254"/>
        <v>24.504999999999999</v>
      </c>
      <c r="AD172" s="44">
        <f t="shared" si="254"/>
        <v>52.495000000000005</v>
      </c>
      <c r="AE172" s="44">
        <f t="shared" si="254"/>
        <v>76.871999999999986</v>
      </c>
      <c r="AF172" s="44">
        <f t="shared" si="254"/>
        <v>100.607</v>
      </c>
      <c r="AG172" s="44">
        <f t="shared" si="254"/>
        <v>31.968000000000004</v>
      </c>
      <c r="AH172" s="44">
        <f t="shared" si="254"/>
        <v>55.869</v>
      </c>
      <c r="AI172" s="44">
        <f t="shared" si="254"/>
        <v>85.025000000000006</v>
      </c>
      <c r="AJ172" s="44">
        <f t="shared" si="254"/>
        <v>114.396</v>
      </c>
      <c r="AK172" s="44">
        <f t="shared" si="254"/>
        <v>34.676999999999992</v>
      </c>
      <c r="AL172" s="44">
        <f t="shared" si="254"/>
        <v>63.596000000000004</v>
      </c>
      <c r="AM172" s="44">
        <f t="shared" si="254"/>
        <v>98.986000000000004</v>
      </c>
      <c r="AN172" s="44">
        <f t="shared" si="254"/>
        <v>136.995</v>
      </c>
      <c r="AO172" s="44">
        <f t="shared" si="254"/>
        <v>43.153999999999996</v>
      </c>
      <c r="AP172" s="44">
        <f t="shared" si="254"/>
        <v>83.475000000000009</v>
      </c>
      <c r="AQ172" s="44">
        <f t="shared" si="254"/>
        <v>135.61300000000003</v>
      </c>
      <c r="AR172" s="44">
        <v>189.90600000000001</v>
      </c>
      <c r="AS172" s="44">
        <v>64.438000000000002</v>
      </c>
      <c r="AT172" s="44">
        <f t="shared" ref="AT172" si="255">+SUM(AT168:AT171)</f>
        <v>143.53599999999997</v>
      </c>
      <c r="AU172" s="44">
        <v>212.547</v>
      </c>
      <c r="AV172" s="44">
        <v>289.108</v>
      </c>
    </row>
    <row r="173" spans="1:48" x14ac:dyDescent="0.2">
      <c r="A173" s="55"/>
      <c r="B173" s="2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48" x14ac:dyDescent="0.2">
      <c r="A174" s="55"/>
      <c r="B174" s="2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48" ht="20.100000000000001" customHeight="1" x14ac:dyDescent="0.2">
      <c r="B175" s="32" t="s">
        <v>165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</row>
    <row r="176" spans="1:48" x14ac:dyDescent="0.2">
      <c r="B176" s="34" t="s">
        <v>65</v>
      </c>
      <c r="C176" s="35" t="s">
        <v>99</v>
      </c>
      <c r="D176" s="35">
        <v>2008</v>
      </c>
      <c r="E176" s="35" t="s">
        <v>100</v>
      </c>
      <c r="F176" s="35" t="s">
        <v>101</v>
      </c>
      <c r="G176" s="35" t="s">
        <v>102</v>
      </c>
      <c r="H176" s="35">
        <v>2009</v>
      </c>
      <c r="I176" s="35" t="s">
        <v>103</v>
      </c>
      <c r="J176" s="35" t="s">
        <v>104</v>
      </c>
      <c r="K176" s="35" t="s">
        <v>105</v>
      </c>
      <c r="L176" s="35">
        <v>2010</v>
      </c>
      <c r="M176" s="35" t="s">
        <v>106</v>
      </c>
      <c r="N176" s="35" t="s">
        <v>107</v>
      </c>
      <c r="O176" s="35" t="s">
        <v>108</v>
      </c>
      <c r="P176" s="35">
        <v>2011</v>
      </c>
      <c r="Q176" s="35" t="s">
        <v>96</v>
      </c>
      <c r="R176" s="35" t="s">
        <v>97</v>
      </c>
      <c r="S176" s="35" t="s">
        <v>98</v>
      </c>
      <c r="T176" s="35">
        <v>2012</v>
      </c>
      <c r="U176" s="35" t="s">
        <v>93</v>
      </c>
      <c r="V176" s="35" t="s">
        <v>94</v>
      </c>
      <c r="W176" s="35" t="s">
        <v>95</v>
      </c>
      <c r="X176" s="35">
        <v>2013</v>
      </c>
      <c r="Y176" s="35" t="s">
        <v>90</v>
      </c>
      <c r="Z176" s="35" t="s">
        <v>91</v>
      </c>
      <c r="AA176" s="35" t="s">
        <v>92</v>
      </c>
      <c r="AB176" s="35">
        <v>2014</v>
      </c>
      <c r="AC176" s="35" t="s">
        <v>87</v>
      </c>
      <c r="AD176" s="35" t="s">
        <v>88</v>
      </c>
      <c r="AE176" s="35" t="s">
        <v>89</v>
      </c>
      <c r="AF176" s="35">
        <v>2015</v>
      </c>
      <c r="AG176" s="35" t="s">
        <v>84</v>
      </c>
      <c r="AH176" s="35" t="s">
        <v>85</v>
      </c>
      <c r="AI176" s="35" t="s">
        <v>86</v>
      </c>
      <c r="AJ176" s="35">
        <v>2016</v>
      </c>
      <c r="AK176" s="35" t="s">
        <v>83</v>
      </c>
      <c r="AL176" s="35" t="s">
        <v>82</v>
      </c>
      <c r="AM176" s="35" t="s">
        <v>81</v>
      </c>
      <c r="AN176" s="35">
        <v>2017</v>
      </c>
      <c r="AO176" s="35" t="s">
        <v>171</v>
      </c>
      <c r="AP176" s="35" t="s">
        <v>174</v>
      </c>
      <c r="AQ176" s="35" t="s">
        <v>176</v>
      </c>
      <c r="AR176" s="35">
        <v>2018</v>
      </c>
      <c r="AS176" s="35" t="s">
        <v>187</v>
      </c>
      <c r="AT176" s="35" t="s">
        <v>189</v>
      </c>
      <c r="AU176" s="35" t="s">
        <v>192</v>
      </c>
      <c r="AV176" s="35">
        <v>2019</v>
      </c>
    </row>
    <row r="177" spans="1:48" ht="15" customHeight="1" x14ac:dyDescent="0.2">
      <c r="B177" s="24" t="s">
        <v>58</v>
      </c>
      <c r="C177" s="3">
        <v>-370</v>
      </c>
      <c r="D177" s="3">
        <v>-450</v>
      </c>
      <c r="E177" s="3">
        <v>-502</v>
      </c>
      <c r="F177" s="3">
        <v>-483</v>
      </c>
      <c r="G177" s="3">
        <v>-451</v>
      </c>
      <c r="H177" s="3">
        <v>-373</v>
      </c>
      <c r="I177" s="3">
        <v>-365</v>
      </c>
      <c r="J177" s="3">
        <v>-400</v>
      </c>
      <c r="K177" s="3">
        <v>-379</v>
      </c>
      <c r="L177" s="3">
        <v>-353</v>
      </c>
      <c r="M177" s="3">
        <v>-332</v>
      </c>
      <c r="N177" s="3">
        <v>-276</v>
      </c>
      <c r="O177" s="3">
        <v>-365</v>
      </c>
      <c r="P177" s="3">
        <v>-230</v>
      </c>
      <c r="Q177" s="3">
        <v>-225</v>
      </c>
      <c r="R177" s="3">
        <v>-286</v>
      </c>
      <c r="S177" s="3">
        <v>-242</v>
      </c>
      <c r="T177" s="3">
        <v>-290</v>
      </c>
      <c r="U177" s="3">
        <v>-389</v>
      </c>
      <c r="V177" s="3">
        <v>-397</v>
      </c>
      <c r="W177" s="3">
        <v>-572</v>
      </c>
      <c r="X177" s="3">
        <f>-619</f>
        <v>-619</v>
      </c>
      <c r="Y177" s="3">
        <v>-513</v>
      </c>
      <c r="Z177" s="3">
        <v>-563</v>
      </c>
      <c r="AA177" s="3">
        <v>-615</v>
      </c>
      <c r="AB177" s="3">
        <v>-612</v>
      </c>
      <c r="AC177" s="3">
        <v>-719</v>
      </c>
      <c r="AD177" s="3">
        <v>-697</v>
      </c>
      <c r="AE177" s="3">
        <v>-778</v>
      </c>
      <c r="AF177" s="3">
        <v>-680</v>
      </c>
      <c r="AG177" s="3">
        <v>-543</v>
      </c>
      <c r="AH177" s="3">
        <v>-491</v>
      </c>
      <c r="AI177" s="3">
        <v>-434</v>
      </c>
      <c r="AJ177" s="3">
        <v>-475</v>
      </c>
      <c r="AK177" s="3">
        <v>1253</v>
      </c>
      <c r="AL177" s="3">
        <v>1041</v>
      </c>
      <c r="AM177" s="3">
        <v>759</v>
      </c>
      <c r="AN177" s="3">
        <v>1142</v>
      </c>
      <c r="AO177" s="3">
        <v>1664</v>
      </c>
      <c r="AP177" s="3">
        <v>1886</v>
      </c>
      <c r="AQ177" s="3">
        <v>1921</v>
      </c>
      <c r="AR177" s="3">
        <v>2090.16</v>
      </c>
      <c r="AS177" s="3">
        <v>2630</v>
      </c>
      <c r="AT177" s="3">
        <v>2025.46</v>
      </c>
      <c r="AU177" s="3">
        <v>2109.7310000000002</v>
      </c>
      <c r="AV177" s="3">
        <v>1562.123</v>
      </c>
    </row>
    <row r="178" spans="1:48" ht="15" customHeight="1" x14ac:dyDescent="0.2">
      <c r="B178" s="24" t="s">
        <v>74</v>
      </c>
      <c r="C178" s="3">
        <v>15</v>
      </c>
      <c r="D178" s="3">
        <v>78</v>
      </c>
      <c r="E178" s="3">
        <v>63</v>
      </c>
      <c r="F178" s="3">
        <v>143</v>
      </c>
      <c r="G178" s="3">
        <v>170</v>
      </c>
      <c r="H178" s="3">
        <v>140</v>
      </c>
      <c r="I178" s="3">
        <v>233</v>
      </c>
      <c r="J178" s="3">
        <v>223</v>
      </c>
      <c r="K178" s="3">
        <v>200</v>
      </c>
      <c r="L178" s="3">
        <v>323</v>
      </c>
      <c r="M178" s="3">
        <v>387</v>
      </c>
      <c r="N178" s="3">
        <v>221</v>
      </c>
      <c r="O178" s="3">
        <v>181</v>
      </c>
      <c r="P178" s="3">
        <v>196</v>
      </c>
      <c r="Q178" s="3">
        <v>248</v>
      </c>
      <c r="R178" s="3">
        <v>202</v>
      </c>
      <c r="S178" s="3">
        <v>89</v>
      </c>
      <c r="T178" s="3">
        <v>147</v>
      </c>
      <c r="U178" s="3">
        <v>273</v>
      </c>
      <c r="V178" s="3">
        <v>56</v>
      </c>
      <c r="W178" s="3">
        <v>74</v>
      </c>
      <c r="X178" s="3">
        <v>224</v>
      </c>
      <c r="Y178" s="3">
        <v>295</v>
      </c>
      <c r="Z178" s="3">
        <v>60</v>
      </c>
      <c r="AA178" s="3">
        <v>-46</v>
      </c>
      <c r="AB178" s="3">
        <v>69</v>
      </c>
      <c r="AC178" s="3">
        <v>231</v>
      </c>
      <c r="AD178" s="3">
        <v>-91</v>
      </c>
      <c r="AE178" s="3">
        <v>-338</v>
      </c>
      <c r="AF178" s="3">
        <v>-323</v>
      </c>
      <c r="AG178" s="3">
        <v>-112</v>
      </c>
      <c r="AH178" s="3">
        <v>-37</v>
      </c>
      <c r="AI178" s="3">
        <v>-96</v>
      </c>
      <c r="AJ178" s="3">
        <v>227</v>
      </c>
      <c r="AK178" s="3">
        <v>208</v>
      </c>
      <c r="AL178" s="3">
        <v>288</v>
      </c>
      <c r="AM178" s="3">
        <v>381</v>
      </c>
      <c r="AN178" s="3">
        <v>586</v>
      </c>
      <c r="AO178" s="3">
        <v>684</v>
      </c>
      <c r="AP178" s="3">
        <v>416</v>
      </c>
      <c r="AQ178" s="3">
        <v>609</v>
      </c>
      <c r="AR178" s="3">
        <v>671.71699999999998</v>
      </c>
      <c r="AS178" s="3">
        <v>436</v>
      </c>
      <c r="AT178" s="3">
        <v>371.61799999999999</v>
      </c>
      <c r="AU178" s="3">
        <v>248.48099999999999</v>
      </c>
      <c r="AV178" s="3">
        <v>510.56200000000001</v>
      </c>
    </row>
    <row r="179" spans="1:48" ht="15" customHeight="1" x14ac:dyDescent="0.2">
      <c r="B179" s="24" t="s">
        <v>75</v>
      </c>
      <c r="C179" s="3">
        <v>-15</v>
      </c>
      <c r="D179" s="3">
        <f>-21</f>
        <v>-21</v>
      </c>
      <c r="E179" s="3">
        <v>-23</v>
      </c>
      <c r="F179" s="3">
        <v>-12</v>
      </c>
      <c r="G179" s="3">
        <v>-14</v>
      </c>
      <c r="H179" s="3">
        <v>-10</v>
      </c>
      <c r="I179" s="3">
        <v>-6</v>
      </c>
      <c r="J179" s="3">
        <v>-3</v>
      </c>
      <c r="K179" s="3">
        <v>0</v>
      </c>
      <c r="L179" s="3">
        <v>14</v>
      </c>
      <c r="M179" s="3">
        <v>17</v>
      </c>
      <c r="N179" s="3">
        <v>18</v>
      </c>
      <c r="O179" s="3">
        <v>18</v>
      </c>
      <c r="P179" s="3">
        <v>19</v>
      </c>
      <c r="Q179" s="3">
        <v>15</v>
      </c>
      <c r="R179" s="3">
        <v>7</v>
      </c>
      <c r="S179" s="3">
        <v>7</v>
      </c>
      <c r="T179" s="3">
        <v>11</v>
      </c>
      <c r="U179" s="3">
        <v>17</v>
      </c>
      <c r="V179" s="3">
        <v>-36</v>
      </c>
      <c r="W179" s="3">
        <v>-70</v>
      </c>
      <c r="X179" s="3">
        <v>-99</v>
      </c>
      <c r="Y179" s="3">
        <v>-109</v>
      </c>
      <c r="Z179" s="3">
        <v>-113</v>
      </c>
      <c r="AA179" s="3">
        <v>-108</v>
      </c>
      <c r="AB179" s="3">
        <v>-91</v>
      </c>
      <c r="AC179" s="3">
        <v>-66</v>
      </c>
      <c r="AD179" s="3">
        <v>-38</v>
      </c>
      <c r="AE179" s="3">
        <v>-39</v>
      </c>
      <c r="AF179" s="3">
        <v>-39</v>
      </c>
      <c r="AG179" s="3">
        <f>-38</f>
        <v>-38</v>
      </c>
      <c r="AH179" s="3">
        <v>-88</v>
      </c>
      <c r="AI179" s="3">
        <v>-129</v>
      </c>
      <c r="AJ179" s="3">
        <v>-220</v>
      </c>
      <c r="AK179" s="3">
        <v>-286</v>
      </c>
      <c r="AL179" s="3">
        <v>-318</v>
      </c>
      <c r="AM179" s="3">
        <v>-356</v>
      </c>
      <c r="AN179" s="3">
        <v>-393</v>
      </c>
      <c r="AO179" s="3">
        <v>-414</v>
      </c>
      <c r="AP179" s="3">
        <v>-336</v>
      </c>
      <c r="AQ179" s="3">
        <v>-282</v>
      </c>
      <c r="AR179" s="3">
        <v>-94.53</v>
      </c>
      <c r="AS179" s="3">
        <v>-71</v>
      </c>
      <c r="AT179" s="3">
        <v>-70.710999999999999</v>
      </c>
      <c r="AU179" s="3">
        <v>-66.736000000000004</v>
      </c>
      <c r="AV179" s="73"/>
    </row>
    <row r="180" spans="1:48" ht="15" customHeight="1" x14ac:dyDescent="0.2">
      <c r="B180" s="24" t="s">
        <v>76</v>
      </c>
      <c r="C180" s="3">
        <v>300</v>
      </c>
      <c r="D180" s="3">
        <v>281</v>
      </c>
      <c r="E180" s="3">
        <v>247</v>
      </c>
      <c r="F180" s="3">
        <v>264</v>
      </c>
      <c r="G180" s="3">
        <v>275</v>
      </c>
      <c r="H180" s="3">
        <v>292</v>
      </c>
      <c r="I180" s="3">
        <v>272</v>
      </c>
      <c r="J180" s="3">
        <v>268</v>
      </c>
      <c r="K180" s="3">
        <v>274</v>
      </c>
      <c r="L180" s="3">
        <v>298</v>
      </c>
      <c r="M180" s="3">
        <v>300</v>
      </c>
      <c r="N180" s="3">
        <v>343</v>
      </c>
      <c r="O180" s="3">
        <v>356</v>
      </c>
      <c r="P180" s="3">
        <v>391</v>
      </c>
      <c r="Q180" s="3">
        <v>413</v>
      </c>
      <c r="R180" s="3">
        <v>458</v>
      </c>
      <c r="S180" s="3">
        <v>411</v>
      </c>
      <c r="T180" s="3">
        <v>767</v>
      </c>
      <c r="U180" s="3">
        <v>782</v>
      </c>
      <c r="V180" s="3">
        <v>755</v>
      </c>
      <c r="W180" s="3">
        <v>670</v>
      </c>
      <c r="X180" s="3">
        <v>688</v>
      </c>
      <c r="Y180" s="3">
        <v>704</v>
      </c>
      <c r="Z180" s="3">
        <v>743</v>
      </c>
      <c r="AA180" s="3">
        <v>701</v>
      </c>
      <c r="AB180" s="3">
        <v>636</v>
      </c>
      <c r="AC180" s="3">
        <v>664</v>
      </c>
      <c r="AD180" s="3">
        <v>861</v>
      </c>
      <c r="AE180" s="3">
        <v>922</v>
      </c>
      <c r="AF180" s="3">
        <v>860</v>
      </c>
      <c r="AG180" s="3">
        <v>773</v>
      </c>
      <c r="AH180" s="3">
        <v>773</v>
      </c>
      <c r="AI180" s="3">
        <v>773</v>
      </c>
      <c r="AJ180" s="3">
        <v>800</v>
      </c>
      <c r="AK180" s="3">
        <v>738</v>
      </c>
      <c r="AL180" s="3">
        <v>756</v>
      </c>
      <c r="AM180" s="3">
        <v>947</v>
      </c>
      <c r="AN180" s="3">
        <v>801</v>
      </c>
      <c r="AO180" s="3">
        <v>757</v>
      </c>
      <c r="AP180" s="3">
        <v>899</v>
      </c>
      <c r="AQ180" s="3">
        <v>1178</v>
      </c>
      <c r="AR180" s="3">
        <v>833.64300000000003</v>
      </c>
      <c r="AS180" s="3">
        <v>1205</v>
      </c>
      <c r="AT180" s="3">
        <v>1279.665</v>
      </c>
      <c r="AU180" s="3">
        <v>1218.9259999999999</v>
      </c>
      <c r="AV180" s="3">
        <v>1256.3379</v>
      </c>
    </row>
    <row r="181" spans="1:48" ht="15" customHeight="1" x14ac:dyDescent="0.2">
      <c r="A181" s="55" t="s">
        <v>164</v>
      </c>
      <c r="B181" s="43" t="s">
        <v>166</v>
      </c>
      <c r="C181" s="44">
        <f t="shared" ref="C181:AQ181" si="256">+SUM(C177:C180)</f>
        <v>-70</v>
      </c>
      <c r="D181" s="44">
        <f t="shared" si="256"/>
        <v>-112</v>
      </c>
      <c r="E181" s="44">
        <f t="shared" si="256"/>
        <v>-215</v>
      </c>
      <c r="F181" s="44">
        <f t="shared" si="256"/>
        <v>-88</v>
      </c>
      <c r="G181" s="44">
        <f t="shared" si="256"/>
        <v>-20</v>
      </c>
      <c r="H181" s="44">
        <f t="shared" si="256"/>
        <v>49</v>
      </c>
      <c r="I181" s="44">
        <f t="shared" si="256"/>
        <v>134</v>
      </c>
      <c r="J181" s="44">
        <f t="shared" si="256"/>
        <v>88</v>
      </c>
      <c r="K181" s="44">
        <f t="shared" si="256"/>
        <v>95</v>
      </c>
      <c r="L181" s="44">
        <f t="shared" si="256"/>
        <v>282</v>
      </c>
      <c r="M181" s="44">
        <f t="shared" si="256"/>
        <v>372</v>
      </c>
      <c r="N181" s="44">
        <f t="shared" si="256"/>
        <v>306</v>
      </c>
      <c r="O181" s="44">
        <f t="shared" si="256"/>
        <v>190</v>
      </c>
      <c r="P181" s="44">
        <f t="shared" si="256"/>
        <v>376</v>
      </c>
      <c r="Q181" s="44">
        <f t="shared" si="256"/>
        <v>451</v>
      </c>
      <c r="R181" s="44">
        <f t="shared" si="256"/>
        <v>381</v>
      </c>
      <c r="S181" s="44">
        <f t="shared" si="256"/>
        <v>265</v>
      </c>
      <c r="T181" s="44">
        <f t="shared" si="256"/>
        <v>635</v>
      </c>
      <c r="U181" s="44">
        <f t="shared" si="256"/>
        <v>683</v>
      </c>
      <c r="V181" s="44">
        <f t="shared" si="256"/>
        <v>378</v>
      </c>
      <c r="W181" s="44">
        <f t="shared" si="256"/>
        <v>102</v>
      </c>
      <c r="X181" s="44">
        <f t="shared" si="256"/>
        <v>194</v>
      </c>
      <c r="Y181" s="44">
        <f t="shared" si="256"/>
        <v>377</v>
      </c>
      <c r="Z181" s="44">
        <f t="shared" si="256"/>
        <v>127</v>
      </c>
      <c r="AA181" s="44">
        <f t="shared" si="256"/>
        <v>-68</v>
      </c>
      <c r="AB181" s="44">
        <f t="shared" si="256"/>
        <v>2</v>
      </c>
      <c r="AC181" s="44">
        <f t="shared" si="256"/>
        <v>110</v>
      </c>
      <c r="AD181" s="44">
        <f t="shared" si="256"/>
        <v>35</v>
      </c>
      <c r="AE181" s="44">
        <f t="shared" si="256"/>
        <v>-233</v>
      </c>
      <c r="AF181" s="44">
        <f t="shared" si="256"/>
        <v>-182</v>
      </c>
      <c r="AG181" s="44">
        <f t="shared" si="256"/>
        <v>80</v>
      </c>
      <c r="AH181" s="44">
        <f t="shared" si="256"/>
        <v>157</v>
      </c>
      <c r="AI181" s="44">
        <f t="shared" si="256"/>
        <v>114</v>
      </c>
      <c r="AJ181" s="44">
        <f t="shared" si="256"/>
        <v>332</v>
      </c>
      <c r="AK181" s="44">
        <f t="shared" si="256"/>
        <v>1913</v>
      </c>
      <c r="AL181" s="44">
        <f t="shared" si="256"/>
        <v>1767</v>
      </c>
      <c r="AM181" s="44">
        <f t="shared" si="256"/>
        <v>1731</v>
      </c>
      <c r="AN181" s="44">
        <f t="shared" si="256"/>
        <v>2136</v>
      </c>
      <c r="AO181" s="44">
        <f t="shared" si="256"/>
        <v>2691</v>
      </c>
      <c r="AP181" s="44">
        <f t="shared" si="256"/>
        <v>2865</v>
      </c>
      <c r="AQ181" s="44">
        <f t="shared" si="256"/>
        <v>3426</v>
      </c>
      <c r="AR181" s="44">
        <v>3595.52</v>
      </c>
      <c r="AS181" s="44">
        <v>4201</v>
      </c>
      <c r="AT181" s="44">
        <v>3606.0320000000002</v>
      </c>
      <c r="AU181" s="44">
        <v>3508.4549999999999</v>
      </c>
      <c r="AV181" s="44">
        <v>3329.0230000000001</v>
      </c>
    </row>
    <row r="182" spans="1:48" x14ac:dyDescent="0.2">
      <c r="A182" s="55"/>
      <c r="B182" s="2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</row>
    <row r="184" spans="1:48" ht="20.100000000000001" customHeight="1" x14ac:dyDescent="0.2">
      <c r="B184" s="32" t="s">
        <v>138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</row>
    <row r="185" spans="1:48" x14ac:dyDescent="0.2">
      <c r="B185" s="34" t="s">
        <v>65</v>
      </c>
      <c r="C185" s="35" t="s">
        <v>99</v>
      </c>
      <c r="D185" s="35">
        <v>2008</v>
      </c>
      <c r="E185" s="35" t="s">
        <v>100</v>
      </c>
      <c r="F185" s="35" t="s">
        <v>101</v>
      </c>
      <c r="G185" s="35" t="s">
        <v>102</v>
      </c>
      <c r="H185" s="35">
        <v>2009</v>
      </c>
      <c r="I185" s="35" t="s">
        <v>103</v>
      </c>
      <c r="J185" s="35" t="s">
        <v>104</v>
      </c>
      <c r="K185" s="35" t="s">
        <v>105</v>
      </c>
      <c r="L185" s="35">
        <v>2010</v>
      </c>
      <c r="M185" s="35" t="s">
        <v>106</v>
      </c>
      <c r="N185" s="35" t="s">
        <v>107</v>
      </c>
      <c r="O185" s="35" t="s">
        <v>108</v>
      </c>
      <c r="P185" s="35">
        <v>2011</v>
      </c>
      <c r="Q185" s="35" t="s">
        <v>96</v>
      </c>
      <c r="R185" s="35" t="s">
        <v>97</v>
      </c>
      <c r="S185" s="35" t="s">
        <v>98</v>
      </c>
      <c r="T185" s="35">
        <v>2012</v>
      </c>
      <c r="U185" s="35" t="s">
        <v>93</v>
      </c>
      <c r="V185" s="35" t="s">
        <v>94</v>
      </c>
      <c r="W185" s="35" t="s">
        <v>95</v>
      </c>
      <c r="X185" s="35">
        <v>2013</v>
      </c>
      <c r="Y185" s="35" t="s">
        <v>90</v>
      </c>
      <c r="Z185" s="35" t="s">
        <v>91</v>
      </c>
      <c r="AA185" s="35" t="s">
        <v>92</v>
      </c>
      <c r="AB185" s="35">
        <v>2014</v>
      </c>
      <c r="AC185" s="35" t="s">
        <v>87</v>
      </c>
      <c r="AD185" s="35" t="s">
        <v>88</v>
      </c>
      <c r="AE185" s="35" t="s">
        <v>89</v>
      </c>
      <c r="AF185" s="35">
        <v>2015</v>
      </c>
      <c r="AG185" s="35" t="s">
        <v>84</v>
      </c>
      <c r="AH185" s="35" t="s">
        <v>85</v>
      </c>
      <c r="AI185" s="35" t="s">
        <v>86</v>
      </c>
      <c r="AJ185" s="35">
        <v>2016</v>
      </c>
      <c r="AK185" s="35" t="s">
        <v>83</v>
      </c>
      <c r="AL185" s="35" t="s">
        <v>82</v>
      </c>
      <c r="AM185" s="35" t="s">
        <v>81</v>
      </c>
      <c r="AN185" s="35">
        <v>2017</v>
      </c>
      <c r="AO185" s="35" t="s">
        <v>171</v>
      </c>
      <c r="AP185" s="35" t="s">
        <v>174</v>
      </c>
      <c r="AQ185" s="35" t="s">
        <v>176</v>
      </c>
      <c r="AR185" s="35">
        <v>2018</v>
      </c>
      <c r="AS185" s="35" t="s">
        <v>187</v>
      </c>
      <c r="AT185" s="35" t="s">
        <v>189</v>
      </c>
      <c r="AU185" s="35" t="s">
        <v>192</v>
      </c>
      <c r="AV185" s="35">
        <v>2019</v>
      </c>
    </row>
    <row r="186" spans="1:48" ht="15" customHeight="1" x14ac:dyDescent="0.2">
      <c r="B186" s="42" t="s">
        <v>148</v>
      </c>
      <c r="C186" s="10">
        <v>70.944000000000003</v>
      </c>
      <c r="D186" s="10">
        <v>111.495</v>
      </c>
      <c r="E186" s="10">
        <v>214.60599999999999</v>
      </c>
      <c r="F186" s="10">
        <v>89.055999999999997</v>
      </c>
      <c r="G186" s="10">
        <v>20.289000000000001</v>
      </c>
      <c r="H186" s="10">
        <v>-49.033999999999999</v>
      </c>
      <c r="I186" s="10">
        <v>-133.94999999999999</v>
      </c>
      <c r="J186" s="10">
        <v>-87.353999999999999</v>
      </c>
      <c r="K186" s="10">
        <v>-94.013000000000005</v>
      </c>
      <c r="L186" s="10">
        <v>-283.27</v>
      </c>
      <c r="M186" s="10">
        <v>-371.52199999999999</v>
      </c>
      <c r="N186" s="10">
        <v>-306.14299999999997</v>
      </c>
      <c r="O186" s="10">
        <v>-190.268</v>
      </c>
      <c r="P186" s="10">
        <v>-376.43099999999998</v>
      </c>
      <c r="Q186" s="10">
        <v>-450.387</v>
      </c>
      <c r="R186" s="10">
        <v>-380.23899999999998</v>
      </c>
      <c r="S186" s="10">
        <v>-264.55399999999997</v>
      </c>
      <c r="T186" s="10">
        <v>-634.76400000000001</v>
      </c>
      <c r="U186" s="10">
        <v>-681.69399999999996</v>
      </c>
      <c r="V186" s="10">
        <v>-377.61799999999999</v>
      </c>
      <c r="W186" s="10">
        <v>-101.51300000000001</v>
      </c>
      <c r="X186" s="10">
        <v>-192.34800000000001</v>
      </c>
      <c r="Y186" s="10">
        <v>-377.44099999999997</v>
      </c>
      <c r="Z186" s="10">
        <v>-126.98699999999999</v>
      </c>
      <c r="AA186" s="10">
        <v>68.061000000000007</v>
      </c>
      <c r="AB186" s="10">
        <v>-0.92700000000000005</v>
      </c>
      <c r="AC186" s="10">
        <v>-109.458</v>
      </c>
      <c r="AD186" s="10">
        <v>-35.360999999999997</v>
      </c>
      <c r="AE186" s="10">
        <v>233.315</v>
      </c>
      <c r="AF186" s="10">
        <v>182.708</v>
      </c>
      <c r="AG186" s="10">
        <v>-78.58</v>
      </c>
      <c r="AH186" s="10">
        <v>-156.53399999999999</v>
      </c>
      <c r="AI186" s="10">
        <v>-113.985</v>
      </c>
      <c r="AJ186" s="10">
        <v>-330.58499999999998</v>
      </c>
      <c r="AK186" s="10">
        <v>-1913.009</v>
      </c>
      <c r="AL186" s="10">
        <v>-1766.4079999999999</v>
      </c>
      <c r="AM186" s="10">
        <v>-1730.2049999999999</v>
      </c>
      <c r="AN186" s="10">
        <v>-2136</v>
      </c>
      <c r="AO186" s="3">
        <v>-2691</v>
      </c>
      <c r="AP186" s="3">
        <v>-2865</v>
      </c>
      <c r="AQ186" s="3">
        <v>-3426</v>
      </c>
      <c r="AR186" s="59">
        <v>-3595.52</v>
      </c>
      <c r="AS186" s="3">
        <v>-4201</v>
      </c>
      <c r="AT186" s="3">
        <v>-3606.0320000000002</v>
      </c>
      <c r="AU186" s="3">
        <v>-3510.402</v>
      </c>
      <c r="AV186" s="3">
        <v>-3329.0228999999999</v>
      </c>
    </row>
    <row r="187" spans="1:48" ht="15" customHeight="1" x14ac:dyDescent="0.2">
      <c r="B187" s="24" t="s">
        <v>139</v>
      </c>
      <c r="C187" s="50">
        <v>-0.18488143914814439</v>
      </c>
      <c r="D187" s="50">
        <v>-0.45176988281819802</v>
      </c>
      <c r="E187" s="50">
        <v>-1.2064921630798984</v>
      </c>
      <c r="F187" s="50">
        <v>-0.88765736043138932</v>
      </c>
      <c r="G187" s="50">
        <v>-0.23180805484147388</v>
      </c>
      <c r="H187" s="50">
        <v>0.24285919476184109</v>
      </c>
      <c r="I187" s="50">
        <v>0.61624740067352457</v>
      </c>
      <c r="J187" s="50">
        <v>0.30328617307525391</v>
      </c>
      <c r="K187" s="50">
        <v>0.34476018643812961</v>
      </c>
      <c r="L187" s="50">
        <v>0.94894007611084308</v>
      </c>
      <c r="M187" s="50">
        <v>1.305408957069873</v>
      </c>
      <c r="N187" s="50">
        <v>0.9809917487783385</v>
      </c>
      <c r="O187" s="50">
        <v>0.53184328808783743</v>
      </c>
      <c r="P187" s="50">
        <v>0.98328244055470948</v>
      </c>
      <c r="Q187" s="50">
        <v>1.1667119998134865</v>
      </c>
      <c r="R187" s="50">
        <v>1.0032161891193077</v>
      </c>
      <c r="S187" s="50">
        <v>0.75555555555555554</v>
      </c>
      <c r="T187" s="50">
        <v>2.447698115535744</v>
      </c>
      <c r="U187" s="50">
        <v>2.4661886432044455</v>
      </c>
      <c r="V187" s="50">
        <v>4.5627529875182757</v>
      </c>
      <c r="W187" s="50">
        <v>2.3485875575503781</v>
      </c>
      <c r="X187" s="50">
        <v>-8.0084936297776661</v>
      </c>
      <c r="Y187" s="50">
        <v>12.52334184943097</v>
      </c>
      <c r="Z187" s="50">
        <v>0.60706756349764079</v>
      </c>
      <c r="AA187" s="50">
        <v>-0.26439259742681337</v>
      </c>
      <c r="AB187" s="50">
        <v>3.234755299659775E-3</v>
      </c>
      <c r="AC187" s="50">
        <v>0.59162968688348261</v>
      </c>
      <c r="AD187" s="50">
        <v>0.20573313629434831</v>
      </c>
      <c r="AE187" s="50">
        <v>-1.2994358148938185</v>
      </c>
      <c r="AF187" s="50">
        <v>-0.75364638331573386</v>
      </c>
      <c r="AG187" s="50">
        <v>0.22354283243390866</v>
      </c>
      <c r="AH187" s="50">
        <v>0.40661878352577507</v>
      </c>
      <c r="AI187" s="50">
        <v>0.32967652741302916</v>
      </c>
      <c r="AJ187" s="50">
        <v>0.70137565823252102</v>
      </c>
      <c r="AK187" s="50">
        <v>3.7971219023233194</v>
      </c>
      <c r="AL187" s="50">
        <v>3.0220424699063142</v>
      </c>
      <c r="AM187" s="50">
        <v>2.3762537373493213</v>
      </c>
      <c r="AN187" s="50">
        <f>(AN186/AN65)*-1</f>
        <v>2.1253731343283584</v>
      </c>
      <c r="AO187" s="50">
        <f>(AO186/(AO65+AN65-AK65))*-1</f>
        <v>2.4974477958236658</v>
      </c>
      <c r="AP187" s="50">
        <f>(AP186/(AP65+AN65-AL65))*-1</f>
        <v>2.5741239892183287</v>
      </c>
      <c r="AQ187" s="50">
        <f>(AQ186/(AQ65+AN65-AM65))*-1</f>
        <v>2.6273006134969323</v>
      </c>
      <c r="AR187" s="50">
        <f>(AR186/AR65)*-1</f>
        <v>2.3951164011436274</v>
      </c>
      <c r="AS187" s="50">
        <f>(AS186/(AS65+AR65-AO65))*-1</f>
        <v>1.9554778515717368</v>
      </c>
      <c r="AT187" s="50">
        <f>(AT186/(AT65+AR65-AP65))*-1</f>
        <v>1.5640685546937687</v>
      </c>
      <c r="AU187" s="50">
        <f>(AU186/(AU65+AR65-AQ65))*-1</f>
        <v>1.514162265962554</v>
      </c>
      <c r="AV187" s="50">
        <f>(AV186/AV65)*-1</f>
        <v>1.7329202081363921</v>
      </c>
    </row>
    <row r="188" spans="1:48" ht="15" customHeight="1" x14ac:dyDescent="0.2">
      <c r="B188" s="24" t="s">
        <v>140</v>
      </c>
      <c r="C188" s="50">
        <f t="shared" ref="C188:AM188" si="257">+C186/C115</f>
        <v>4.9923472349768308E-2</v>
      </c>
      <c r="D188" s="50">
        <f t="shared" si="257"/>
        <v>8.3036486304323379E-2</v>
      </c>
      <c r="E188" s="50">
        <f t="shared" si="257"/>
        <v>0.15290892910453877</v>
      </c>
      <c r="F188" s="50">
        <f t="shared" si="257"/>
        <v>6.4374682395053923E-2</v>
      </c>
      <c r="G188" s="50">
        <f t="shared" si="257"/>
        <v>1.4175185704783889E-2</v>
      </c>
      <c r="H188" s="50">
        <f t="shared" si="257"/>
        <v>-3.3959227319192084E-2</v>
      </c>
      <c r="I188" s="50">
        <f t="shared" si="257"/>
        <v>-8.5652023229314658E-2</v>
      </c>
      <c r="J188" s="50">
        <f t="shared" si="257"/>
        <v>-5.5405446546816249E-2</v>
      </c>
      <c r="K188" s="50">
        <f t="shared" si="257"/>
        <v>-5.9447944081131431E-2</v>
      </c>
      <c r="L188" s="50">
        <f t="shared" si="257"/>
        <v>-0.16834464565136903</v>
      </c>
      <c r="M188" s="50">
        <f t="shared" si="257"/>
        <v>-0.21264909596574461</v>
      </c>
      <c r="N188" s="50">
        <f t="shared" si="257"/>
        <v>-0.17350658506976127</v>
      </c>
      <c r="O188" s="50">
        <f t="shared" si="257"/>
        <v>-0.10312338080444346</v>
      </c>
      <c r="P188" s="50">
        <f t="shared" si="257"/>
        <v>-0.19942244303101389</v>
      </c>
      <c r="Q188" s="50">
        <f t="shared" si="257"/>
        <v>-0.22606634214702967</v>
      </c>
      <c r="R188" s="50">
        <f t="shared" si="257"/>
        <v>-0.19435647106931095</v>
      </c>
      <c r="S188" s="50">
        <f t="shared" si="257"/>
        <v>-0.13257662316836047</v>
      </c>
      <c r="T188" s="50">
        <f t="shared" si="257"/>
        <v>-0.30065576798743882</v>
      </c>
      <c r="U188" s="50">
        <f t="shared" si="257"/>
        <v>-0.30291897012864727</v>
      </c>
      <c r="V188" s="50">
        <f t="shared" si="257"/>
        <v>-0.19065174443584465</v>
      </c>
      <c r="W188" s="50">
        <f t="shared" si="257"/>
        <v>-5.0895546633402455E-2</v>
      </c>
      <c r="X188" s="50">
        <f t="shared" si="257"/>
        <v>-0.10006674654054711</v>
      </c>
      <c r="Y188" s="50">
        <f t="shared" si="257"/>
        <v>-0.18131513653602729</v>
      </c>
      <c r="Z188" s="50">
        <f t="shared" si="257"/>
        <v>-6.0580516170213379E-2</v>
      </c>
      <c r="AA188" s="50">
        <f t="shared" si="257"/>
        <v>3.1033289393710722E-2</v>
      </c>
      <c r="AB188" s="50">
        <f t="shared" si="257"/>
        <v>-4.644139666864389E-4</v>
      </c>
      <c r="AC188" s="50">
        <f t="shared" si="257"/>
        <v>-5.2945683488732513E-2</v>
      </c>
      <c r="AD188" s="50">
        <f t="shared" si="257"/>
        <v>-1.7172911663505923E-2</v>
      </c>
      <c r="AE188" s="50">
        <f t="shared" si="257"/>
        <v>0.11005009244934154</v>
      </c>
      <c r="AF188" s="50">
        <f t="shared" si="257"/>
        <v>8.7624062710567885E-2</v>
      </c>
      <c r="AG188" s="50">
        <f t="shared" si="257"/>
        <v>-3.6253798736514978E-2</v>
      </c>
      <c r="AH188" s="50">
        <f t="shared" si="257"/>
        <v>-7.0271697117106915E-2</v>
      </c>
      <c r="AI188" s="50">
        <f t="shared" si="257"/>
        <v>-5.1383641533002782E-2</v>
      </c>
      <c r="AJ188" s="50">
        <f t="shared" si="257"/>
        <v>-0.13893295823374829</v>
      </c>
      <c r="AK188" s="50">
        <f t="shared" si="257"/>
        <v>-0.79162945791224337</v>
      </c>
      <c r="AL188" s="50">
        <f t="shared" si="257"/>
        <v>-0.67905965425932702</v>
      </c>
      <c r="AM188" s="50">
        <f t="shared" si="257"/>
        <v>-0.63530620884997868</v>
      </c>
      <c r="AN188" s="50">
        <f t="shared" ref="AN188:AR188" si="258">+AN186/AN115</f>
        <v>-0.71003226391925844</v>
      </c>
      <c r="AO188" s="50">
        <f t="shared" si="258"/>
        <v>-0.88202382349297159</v>
      </c>
      <c r="AP188" s="50">
        <f t="shared" si="258"/>
        <v>-0.83429138522072466</v>
      </c>
      <c r="AQ188" s="50">
        <f t="shared" si="258"/>
        <v>-0.81116749874868055</v>
      </c>
      <c r="AR188" s="63">
        <f t="shared" si="258"/>
        <v>-0.81265800182849846</v>
      </c>
      <c r="AS188" s="50">
        <f t="shared" ref="AS188:AV188" si="259">+AS186/AS115</f>
        <v>-0.8618813139576561</v>
      </c>
      <c r="AT188" s="50">
        <f t="shared" si="259"/>
        <v>-0.69735329120371858</v>
      </c>
      <c r="AU188" s="50">
        <f t="shared" si="259"/>
        <v>-0.65113543345907532</v>
      </c>
      <c r="AV188" s="50">
        <f t="shared" si="259"/>
        <v>-0.60562154462448625</v>
      </c>
    </row>
    <row r="189" spans="1:48" ht="15" customHeight="1" x14ac:dyDescent="0.2">
      <c r="B189" s="24" t="s">
        <v>141</v>
      </c>
      <c r="C189" s="50">
        <f t="shared" ref="C189:AM189" si="260">+(C113+C114)/C115</f>
        <v>0.36995542044466961</v>
      </c>
      <c r="D189" s="50">
        <f t="shared" si="260"/>
        <v>0.46015373237815993</v>
      </c>
      <c r="E189" s="50">
        <f t="shared" si="260"/>
        <v>0.48645981550265088</v>
      </c>
      <c r="F189" s="50">
        <f t="shared" si="260"/>
        <v>0.44433826489933148</v>
      </c>
      <c r="G189" s="50">
        <f t="shared" si="260"/>
        <v>0.39511382627310482</v>
      </c>
      <c r="H189" s="50">
        <f t="shared" si="260"/>
        <v>0.35481900508896691</v>
      </c>
      <c r="I189" s="50">
        <f t="shared" si="260"/>
        <v>0.3312626367906612</v>
      </c>
      <c r="J189" s="50">
        <f t="shared" si="260"/>
        <v>0.33928145565991302</v>
      </c>
      <c r="K189" s="50">
        <f t="shared" si="260"/>
        <v>0.29839626566774208</v>
      </c>
      <c r="L189" s="50">
        <f t="shared" si="260"/>
        <v>0.28245672525775861</v>
      </c>
      <c r="M189" s="50">
        <f t="shared" si="260"/>
        <v>0.27101280798666144</v>
      </c>
      <c r="N189" s="50">
        <f t="shared" si="260"/>
        <v>0.25757603236369947</v>
      </c>
      <c r="O189" s="50">
        <f t="shared" si="260"/>
        <v>0.27654505130478707</v>
      </c>
      <c r="P189" s="50">
        <f t="shared" si="260"/>
        <v>0.21714912963828256</v>
      </c>
      <c r="Q189" s="50">
        <f t="shared" si="260"/>
        <v>0.19809635000737849</v>
      </c>
      <c r="R189" s="50">
        <f t="shared" si="260"/>
        <v>0.24442649764874255</v>
      </c>
      <c r="S189" s="50">
        <f t="shared" si="260"/>
        <v>0.21564836530559064</v>
      </c>
      <c r="T189" s="50">
        <f t="shared" si="260"/>
        <v>0.20319429346860771</v>
      </c>
      <c r="U189" s="50">
        <f t="shared" si="260"/>
        <v>0.22422999826254422</v>
      </c>
      <c r="V189" s="50">
        <f t="shared" si="260"/>
        <v>0.29092392519901106</v>
      </c>
      <c r="W189" s="50">
        <f t="shared" si="260"/>
        <v>0.37815211156880602</v>
      </c>
      <c r="X189" s="50">
        <f t="shared" si="260"/>
        <v>0.47389887717023799</v>
      </c>
      <c r="Y189" s="50">
        <f t="shared" si="260"/>
        <v>0.45737947864350276</v>
      </c>
      <c r="Z189" s="50">
        <f t="shared" si="260"/>
        <v>0.46877470280306599</v>
      </c>
      <c r="AA189" s="50">
        <f t="shared" si="260"/>
        <v>0.46058041338506378</v>
      </c>
      <c r="AB189" s="50">
        <f t="shared" si="260"/>
        <v>0.54503913702165863</v>
      </c>
      <c r="AC189" s="50">
        <f t="shared" si="260"/>
        <v>0.54976627241259879</v>
      </c>
      <c r="AD189" s="50">
        <f t="shared" si="260"/>
        <v>0.56418461329260394</v>
      </c>
      <c r="AE189" s="50">
        <f t="shared" si="260"/>
        <v>0.65490547526508436</v>
      </c>
      <c r="AF189" s="50">
        <f t="shared" si="260"/>
        <v>0.58265292175326777</v>
      </c>
      <c r="AG189" s="50">
        <f t="shared" si="260"/>
        <v>0.5303619797397644</v>
      </c>
      <c r="AH189" s="50">
        <f t="shared" si="260"/>
        <v>0.48417277426271144</v>
      </c>
      <c r="AI189" s="50">
        <f t="shared" si="260"/>
        <v>0.48141132473190212</v>
      </c>
      <c r="AJ189" s="50">
        <f t="shared" si="260"/>
        <v>0.52993813294377667</v>
      </c>
      <c r="AK189" s="50">
        <f t="shared" si="260"/>
        <v>0.51547208288193158</v>
      </c>
      <c r="AL189" s="50">
        <f t="shared" si="260"/>
        <v>0.4974500779623382</v>
      </c>
      <c r="AM189" s="50">
        <f t="shared" si="260"/>
        <v>0.40928479973151399</v>
      </c>
      <c r="AN189" s="50">
        <f t="shared" ref="AN189:AR189" si="261">+(AN113+AN114)/AN115</f>
        <v>0.3921442376028566</v>
      </c>
      <c r="AO189" s="50">
        <f t="shared" si="261"/>
        <v>0.37967077665950605</v>
      </c>
      <c r="AP189" s="50">
        <f t="shared" si="261"/>
        <v>0.34911993178903522</v>
      </c>
      <c r="AQ189" s="50">
        <f t="shared" si="261"/>
        <v>0.31019201419093256</v>
      </c>
      <c r="AR189" s="63">
        <f t="shared" si="261"/>
        <v>0.2527308253444821</v>
      </c>
      <c r="AS189" s="50">
        <f t="shared" ref="AS189:AV189" si="262">+(AS113+AS114)/AS115</f>
        <v>0.16791072870926452</v>
      </c>
      <c r="AT189" s="50">
        <f t="shared" si="262"/>
        <v>0.16580036534335738</v>
      </c>
      <c r="AU189" s="50">
        <f t="shared" si="262"/>
        <v>0.15525928267189443</v>
      </c>
      <c r="AV189" s="50">
        <f t="shared" si="262"/>
        <v>0.15207672730117322</v>
      </c>
    </row>
    <row r="190" spans="1:48" ht="15" customHeight="1" x14ac:dyDescent="0.2">
      <c r="B190" s="24" t="s">
        <v>142</v>
      </c>
      <c r="C190" s="50">
        <f t="shared" ref="C190:AM190" si="263">+C111/C115</f>
        <v>1.9920481614012124</v>
      </c>
      <c r="D190" s="50">
        <f t="shared" si="263"/>
        <v>2.2314684413687709</v>
      </c>
      <c r="E190" s="50">
        <f t="shared" si="263"/>
        <v>2.1252272016382032</v>
      </c>
      <c r="F190" s="50">
        <f t="shared" si="263"/>
        <v>2.0858630288687081</v>
      </c>
      <c r="G190" s="50">
        <f t="shared" si="263"/>
        <v>2.0180583579728695</v>
      </c>
      <c r="H190" s="50">
        <f t="shared" si="263"/>
        <v>1.9210524493250263</v>
      </c>
      <c r="I190" s="50">
        <f t="shared" si="263"/>
        <v>1.8443288065754155</v>
      </c>
      <c r="J190" s="50">
        <f t="shared" si="263"/>
        <v>1.8289879946620391</v>
      </c>
      <c r="K190" s="50">
        <f t="shared" si="263"/>
        <v>1.8019620167518848</v>
      </c>
      <c r="L190" s="50">
        <f t="shared" si="263"/>
        <v>1.8220236896044937</v>
      </c>
      <c r="M190" s="50">
        <f t="shared" si="263"/>
        <v>1.8363065239626744</v>
      </c>
      <c r="N190" s="50">
        <f t="shared" si="263"/>
        <v>1.9225513277255297</v>
      </c>
      <c r="O190" s="50">
        <f t="shared" si="263"/>
        <v>1.986480597836809</v>
      </c>
      <c r="P190" s="50">
        <f t="shared" si="263"/>
        <v>1.985440817628255</v>
      </c>
      <c r="Q190" s="50">
        <f t="shared" si="263"/>
        <v>1.9799335233335911</v>
      </c>
      <c r="R190" s="50">
        <f t="shared" si="263"/>
        <v>2.0402438151707214</v>
      </c>
      <c r="S190" s="50">
        <f t="shared" si="263"/>
        <v>1.9833057710425561</v>
      </c>
      <c r="T190" s="50">
        <f t="shared" si="263"/>
        <v>1.9559936815132162</v>
      </c>
      <c r="U190" s="50">
        <f t="shared" si="263"/>
        <v>1.9688813228837145</v>
      </c>
      <c r="V190" s="50">
        <f t="shared" si="263"/>
        <v>2.1509202193804215</v>
      </c>
      <c r="W190" s="50">
        <f t="shared" si="263"/>
        <v>2.2336297765495332</v>
      </c>
      <c r="X190" s="50">
        <f t="shared" si="263"/>
        <v>2.4437765744093869</v>
      </c>
      <c r="Y190" s="50">
        <f t="shared" si="263"/>
        <v>2.3574902062511858</v>
      </c>
      <c r="Z190" s="50">
        <f t="shared" si="263"/>
        <v>2.3411394787347777</v>
      </c>
      <c r="AA190" s="50">
        <f t="shared" si="263"/>
        <v>2.2783078852852117</v>
      </c>
      <c r="AB190" s="50">
        <f t="shared" si="263"/>
        <v>2.4826268095612165</v>
      </c>
      <c r="AC190" s="50">
        <f t="shared" si="263"/>
        <v>2.5860008203683531</v>
      </c>
      <c r="AD190" s="50">
        <f t="shared" si="263"/>
        <v>2.6611160619975087</v>
      </c>
      <c r="AE190" s="50">
        <f t="shared" si="263"/>
        <v>2.8710694879438514</v>
      </c>
      <c r="AF190" s="50">
        <f t="shared" si="263"/>
        <v>2.6981730199723279</v>
      </c>
      <c r="AG190" s="50">
        <f t="shared" si="263"/>
        <v>2.6121309510462991</v>
      </c>
      <c r="AH190" s="50">
        <f t="shared" si="263"/>
        <v>2.5360978903317268</v>
      </c>
      <c r="AI190" s="50">
        <f t="shared" si="263"/>
        <v>2.6008868000142451</v>
      </c>
      <c r="AJ190" s="50">
        <f t="shared" si="263"/>
        <v>2.8026600186513142</v>
      </c>
      <c r="AK190" s="50">
        <f t="shared" si="263"/>
        <v>3.5428826929013564</v>
      </c>
      <c r="AL190" s="50">
        <f t="shared" si="263"/>
        <v>3.2678606027242223</v>
      </c>
      <c r="AM190" s="50">
        <f t="shared" si="263"/>
        <v>3.0728532774428023</v>
      </c>
      <c r="AN190" s="50">
        <f t="shared" ref="AN190:AR190" si="264">+AN111/AN115</f>
        <v>3.1136211180082931</v>
      </c>
      <c r="AO190" s="50">
        <f t="shared" si="264"/>
        <v>3.2241310705101185</v>
      </c>
      <c r="AP190" s="50">
        <f t="shared" si="264"/>
        <v>3.0897374297185944</v>
      </c>
      <c r="AQ190" s="50">
        <f t="shared" si="264"/>
        <v>3.0419763790676169</v>
      </c>
      <c r="AR190" s="63">
        <f t="shared" si="264"/>
        <v>2.7202634484488839</v>
      </c>
      <c r="AS190" s="50">
        <f t="shared" ref="AS190" si="265">+AS111/AS115</f>
        <v>2.7564133838002016</v>
      </c>
      <c r="AT190" s="50">
        <f>+AT111/AT115</f>
        <v>2.4097094077654995</v>
      </c>
      <c r="AU190" s="50">
        <f>+AU111/AU115</f>
        <v>2.2706458171379622</v>
      </c>
      <c r="AV190" s="50">
        <f>+AV111/AV115</f>
        <v>2.3037015610702087</v>
      </c>
    </row>
    <row r="191" spans="1:48" ht="15" customHeight="1" x14ac:dyDescent="0.2">
      <c r="B191" s="24" t="s">
        <v>143</v>
      </c>
      <c r="C191" s="50">
        <v>1.4169516388381285</v>
      </c>
      <c r="D191" s="50">
        <v>1.2609307853595397</v>
      </c>
      <c r="E191" s="50">
        <v>1.2890532585359098</v>
      </c>
      <c r="F191" s="50">
        <v>1.298119600032541</v>
      </c>
      <c r="G191" s="50">
        <v>1.3174511137323608</v>
      </c>
      <c r="H191" s="50">
        <v>1.3886172628542284</v>
      </c>
      <c r="I191" s="50">
        <v>1.5312422404542014</v>
      </c>
      <c r="J191" s="50">
        <v>1.4652683786682392</v>
      </c>
      <c r="K191" s="50">
        <v>1.5598347918823665</v>
      </c>
      <c r="L191" s="50">
        <v>1.5204693177826616</v>
      </c>
      <c r="M191" s="50">
        <v>1.5288718369984144</v>
      </c>
      <c r="N191" s="50">
        <v>1.3994700835905591</v>
      </c>
      <c r="O191" s="50">
        <v>1.3680509018151183</v>
      </c>
      <c r="P191" s="50">
        <v>1.497160622103864</v>
      </c>
      <c r="Q191" s="50">
        <v>1.4473666070896472</v>
      </c>
      <c r="R191" s="50">
        <v>1.4135916756671765</v>
      </c>
      <c r="S191" s="50">
        <v>1.4323975116261574</v>
      </c>
      <c r="T191" s="50">
        <v>1.6284951261557579</v>
      </c>
      <c r="U191" s="50">
        <v>1.5932822264927062</v>
      </c>
      <c r="V191" s="50">
        <v>1.4587764508414374</v>
      </c>
      <c r="W191" s="50">
        <v>1.4160396767148551</v>
      </c>
      <c r="X191" s="50">
        <v>1.414806523632306</v>
      </c>
      <c r="Y191" s="50">
        <v>1.4048651322609051</v>
      </c>
      <c r="Z191" s="50">
        <v>1.4188503066602718</v>
      </c>
      <c r="AA191" s="50">
        <v>1.4903249403524836</v>
      </c>
      <c r="AB191" s="50">
        <v>1.4291064139160914</v>
      </c>
      <c r="AC191" s="50">
        <v>1.3683144662161824</v>
      </c>
      <c r="AD191" s="50">
        <v>1.3117905898216737</v>
      </c>
      <c r="AE191" s="50">
        <v>1.2400593230274304</v>
      </c>
      <c r="AF191" s="50">
        <v>1.2850736516576295</v>
      </c>
      <c r="AG191" s="50">
        <v>1.3318036239910931</v>
      </c>
      <c r="AH191" s="50">
        <v>1.217196036487268</v>
      </c>
      <c r="AI191" s="50">
        <v>1.2031789988308532</v>
      </c>
      <c r="AJ191" s="50">
        <v>1.1635333497751736</v>
      </c>
      <c r="AK191" s="50">
        <v>1.1026890882401366</v>
      </c>
      <c r="AL191" s="50">
        <v>1.1703102407672785</v>
      </c>
      <c r="AM191" s="50">
        <v>1.2134620647128691</v>
      </c>
      <c r="AN191" s="50">
        <v>1.2554748654251273</v>
      </c>
      <c r="AO191" s="50">
        <v>1.2067970068489018</v>
      </c>
      <c r="AP191" s="50">
        <v>1.2732521778241634</v>
      </c>
      <c r="AQ191" s="50">
        <v>1.2788315181807925</v>
      </c>
      <c r="AR191" s="50">
        <v>1.319474104577806</v>
      </c>
      <c r="AS191" s="50">
        <v>1.3258674495855256</v>
      </c>
      <c r="AT191" s="50">
        <v>1.3580654501923284</v>
      </c>
      <c r="AU191" s="50">
        <v>1.4139050112512892</v>
      </c>
      <c r="AV191" s="50">
        <v>1.3870722449481416</v>
      </c>
    </row>
    <row r="192" spans="1:48" ht="15" customHeight="1" x14ac:dyDescent="0.2">
      <c r="B192" s="24" t="s">
        <v>144</v>
      </c>
      <c r="C192" s="50">
        <v>0.35637167475872705</v>
      </c>
      <c r="D192" s="50">
        <v>0.33085501130044281</v>
      </c>
      <c r="E192" s="50">
        <v>0.32421566590484108</v>
      </c>
      <c r="F192" s="50">
        <v>0.37842842363606388</v>
      </c>
      <c r="G192" s="50">
        <v>0.40171357041972822</v>
      </c>
      <c r="H192" s="50">
        <v>0.45592023832341944</v>
      </c>
      <c r="I192" s="50">
        <v>0.5601968916279817</v>
      </c>
      <c r="J192" s="50">
        <v>0.50828787045878365</v>
      </c>
      <c r="K192" s="50">
        <v>0.48907946341067127</v>
      </c>
      <c r="L192" s="50">
        <v>0.58948682161385879</v>
      </c>
      <c r="M192" s="50">
        <v>0.61483723052139638</v>
      </c>
      <c r="N192" s="50">
        <v>0.50995202325625055</v>
      </c>
      <c r="O192" s="50">
        <v>0.4191405950830972</v>
      </c>
      <c r="P192" s="50">
        <v>0.463690165196952</v>
      </c>
      <c r="Q192" s="50">
        <v>0.45865982643602238</v>
      </c>
      <c r="R192" s="50">
        <v>0.45293713853961165</v>
      </c>
      <c r="S192" s="50">
        <v>0.38156749541076346</v>
      </c>
      <c r="T192" s="50">
        <v>0.58381908957544515</v>
      </c>
      <c r="U192" s="50">
        <v>0.58877671148027855</v>
      </c>
      <c r="V192" s="50">
        <v>0.45586635646051465</v>
      </c>
      <c r="W192" s="50">
        <v>0.38156734260003228</v>
      </c>
      <c r="X192" s="50">
        <v>0.45354950967876156</v>
      </c>
      <c r="Y192" s="50">
        <v>0.54581808403858112</v>
      </c>
      <c r="Z192" s="50">
        <v>0.46641869309887235</v>
      </c>
      <c r="AA192" s="50">
        <v>0.42122861363790826</v>
      </c>
      <c r="AB192" s="50">
        <v>0.45985803633911471</v>
      </c>
      <c r="AC192" s="50">
        <v>0.47891012082821349</v>
      </c>
      <c r="AD192" s="50">
        <v>0.43718658852730485</v>
      </c>
      <c r="AE192" s="50">
        <v>0.35084079427009773</v>
      </c>
      <c r="AF192" s="50">
        <v>0.35721919137526009</v>
      </c>
      <c r="AG192" s="50">
        <v>0.43483289468838265</v>
      </c>
      <c r="AH192" s="50">
        <v>0.40633144773231089</v>
      </c>
      <c r="AI192" s="50">
        <v>0.37125783488580871</v>
      </c>
      <c r="AJ192" s="50">
        <v>0.38070191602188902</v>
      </c>
      <c r="AK192" s="50">
        <v>0.53862194995717105</v>
      </c>
      <c r="AL192" s="50">
        <v>0.54246422225633495</v>
      </c>
      <c r="AM192" s="50">
        <v>0.5482011582415629</v>
      </c>
      <c r="AN192" s="50">
        <v>0.53445694901808183</v>
      </c>
      <c r="AO192" s="50">
        <v>0.62510245593376701</v>
      </c>
      <c r="AP192" s="50">
        <v>0.59192710416100813</v>
      </c>
      <c r="AQ192" s="50">
        <v>0.62066461888757707</v>
      </c>
      <c r="AR192" s="63">
        <v>0.67752527003927843</v>
      </c>
      <c r="AS192" s="50">
        <v>0.59546493337676831</v>
      </c>
      <c r="AT192" s="50">
        <v>0.65173690980210186</v>
      </c>
      <c r="AU192" s="50">
        <v>0.6473765874214753</v>
      </c>
      <c r="AV192" s="50">
        <f>4094.625/6645.129</f>
        <v>0.61618442621655656</v>
      </c>
    </row>
    <row r="193" spans="1:48" ht="15" customHeight="1" x14ac:dyDescent="0.2">
      <c r="B193" s="24" t="s">
        <v>145</v>
      </c>
      <c r="C193" s="38">
        <v>0.20559193395926331</v>
      </c>
      <c r="D193" s="38">
        <v>6.6759436997761407E-2</v>
      </c>
      <c r="E193" s="38">
        <v>-1.4228199515039749E-2</v>
      </c>
      <c r="F193" s="38">
        <v>-5.0242601431034969E-2</v>
      </c>
      <c r="G193" s="38">
        <v>-5.0770043861471048E-2</v>
      </c>
      <c r="H193" s="38">
        <v>4.8988167291935045E-2</v>
      </c>
      <c r="I193" s="38">
        <v>8.9555361022818553E-2</v>
      </c>
      <c r="J193" s="38">
        <v>0.10860726794586859</v>
      </c>
      <c r="K193" s="38">
        <v>0.10371237751100414</v>
      </c>
      <c r="L193" s="38">
        <v>0.1115317962892788</v>
      </c>
      <c r="M193" s="38">
        <v>0.11421739812849639</v>
      </c>
      <c r="N193" s="38">
        <v>0.12712067526291118</v>
      </c>
      <c r="O193" s="38">
        <v>0.12987162057537052</v>
      </c>
      <c r="P193" s="38">
        <v>0.13386677952910578</v>
      </c>
      <c r="Q193" s="38">
        <v>0.13804610313641366</v>
      </c>
      <c r="R193" s="38">
        <v>0.129309276407125</v>
      </c>
      <c r="S193" s="38">
        <v>0.124147765433177</v>
      </c>
      <c r="T193" s="38">
        <v>0.14862285940787964</v>
      </c>
      <c r="U193" s="38">
        <v>0.17036403890414242</v>
      </c>
      <c r="V193" s="38">
        <v>7.4830492486595138E-2</v>
      </c>
      <c r="W193" s="38">
        <v>5.1492601495018463E-2</v>
      </c>
      <c r="X193" s="38">
        <v>-3.1547583469883164E-2</v>
      </c>
      <c r="Y193" s="38">
        <v>-3.460496169549223E-2</v>
      </c>
      <c r="Z193" s="38">
        <v>5.6233134562640438E-2</v>
      </c>
      <c r="AA193" s="38">
        <v>8.8397595527522993E-2</v>
      </c>
      <c r="AB193" s="38">
        <v>2.6728085153731668E-2</v>
      </c>
      <c r="AC193" s="38">
        <v>-1.1809273056875345E-3</v>
      </c>
      <c r="AD193" s="38">
        <v>-7.1854409440259056E-3</v>
      </c>
      <c r="AE193" s="38">
        <v>-2.1198106476542723E-2</v>
      </c>
      <c r="AF193" s="38">
        <v>8.9041196184113339E-2</v>
      </c>
      <c r="AG193" s="38">
        <v>0.1187581291693959</v>
      </c>
      <c r="AH193" s="38">
        <v>0.13666879605816842</v>
      </c>
      <c r="AI193" s="38">
        <v>0.11111572237922887</v>
      </c>
      <c r="AJ193" s="38">
        <v>0.14429776818642337</v>
      </c>
      <c r="AK193" s="38">
        <v>0.14596656304405928</v>
      </c>
      <c r="AL193" s="38">
        <v>0.20321578373080665</v>
      </c>
      <c r="AM193" s="38">
        <v>0.2493251934307168</v>
      </c>
      <c r="AN193" s="38">
        <f>AN73/AVERAGE(AN115,AJ115)</f>
        <v>0.28610273153777321</v>
      </c>
      <c r="AO193" s="38">
        <f>(AO73+AN73-AK73)/AVERAGE(AO115,AK115)</f>
        <v>0.31123200360531461</v>
      </c>
      <c r="AP193" s="38">
        <f>(AP73+AN73-AL73)/AVERAGE(AP115,AL115)</f>
        <v>0.30027299352410841</v>
      </c>
      <c r="AQ193" s="38">
        <f>(AQ73+AN73-AM73)/AVERAGE(AQ115,AM115)</f>
        <v>0.35197203496608132</v>
      </c>
      <c r="AR193" s="64">
        <f>AR73/AVERAGE(AR115,AN115)</f>
        <v>0.37712414141331241</v>
      </c>
      <c r="AS193" s="38">
        <f>(AS73+AR73-AO73)/AVERAGE(AS115,AO115)</f>
        <v>0.48991622754824227</v>
      </c>
      <c r="AT193" s="38">
        <f>(AT73+AR73-AP73)/AVERAGE(AT115,AP115)</f>
        <v>0.4789023411525149</v>
      </c>
      <c r="AU193" s="38">
        <f>(AU73+AR73-AQ73)/AVERAGE(AU115,AQ115)</f>
        <v>0.38897181131102482</v>
      </c>
      <c r="AV193" s="64">
        <f>AV73/AVERAGE(AV115,AR115)</f>
        <v>0.28521745966870155</v>
      </c>
    </row>
    <row r="194" spans="1:48" ht="15" customHeight="1" x14ac:dyDescent="0.2">
      <c r="A194" s="55" t="s">
        <v>164</v>
      </c>
      <c r="B194" s="26" t="s">
        <v>146</v>
      </c>
      <c r="C194" s="41">
        <v>0.10407379650482508</v>
      </c>
      <c r="D194" s="41">
        <v>3.2798331980427357E-2</v>
      </c>
      <c r="E194" s="41">
        <v>-6.8759285643354958E-3</v>
      </c>
      <c r="F194" s="41">
        <v>-2.3845329588490217E-2</v>
      </c>
      <c r="G194" s="41">
        <v>-2.4021746926767826E-2</v>
      </c>
      <c r="H194" s="41">
        <v>2.4055651589909143E-2</v>
      </c>
      <c r="I194" s="41">
        <v>4.5611236279195319E-2</v>
      </c>
      <c r="J194" s="41">
        <v>5.7159959647387952E-2</v>
      </c>
      <c r="K194" s="41">
        <v>5.6136399628212978E-2</v>
      </c>
      <c r="L194" s="41">
        <v>6.1139077364145034E-2</v>
      </c>
      <c r="M194" s="41">
        <v>6.266514238962323E-2</v>
      </c>
      <c r="N194" s="41">
        <v>6.8817943825354319E-2</v>
      </c>
      <c r="O194" s="41">
        <v>6.8574657011949286E-2</v>
      </c>
      <c r="P194" s="41">
        <v>6.9202517625497895E-2</v>
      </c>
      <c r="Q194" s="41">
        <v>7.0094956468962841E-2</v>
      </c>
      <c r="R194" s="41">
        <v>6.4712224593639678E-2</v>
      </c>
      <c r="S194" s="41">
        <v>6.2161349354997425E-2</v>
      </c>
      <c r="T194" s="41">
        <v>7.471707434493062E-2</v>
      </c>
      <c r="U194" s="41">
        <v>8.5788363803979556E-2</v>
      </c>
      <c r="V194" s="41">
        <v>3.7186292583416956E-2</v>
      </c>
      <c r="W194" s="41">
        <v>2.4849180130681516E-2</v>
      </c>
      <c r="X194" s="41">
        <v>-1.440543748605938E-2</v>
      </c>
      <c r="Y194" s="41">
        <v>-1.5071597127730743E-2</v>
      </c>
      <c r="Z194" s="41">
        <v>2.3998164012655154E-2</v>
      </c>
      <c r="AA194" s="41">
        <v>3.7577351114034423E-2</v>
      </c>
      <c r="AB194" s="41">
        <v>1.1313515339638675E-2</v>
      </c>
      <c r="AC194" s="41">
        <v>-4.8817649302500022E-4</v>
      </c>
      <c r="AD194" s="41">
        <v>-2.8757440528114284E-3</v>
      </c>
      <c r="AE194" s="41">
        <v>-7.9900757851792351E-3</v>
      </c>
      <c r="AF194" s="41">
        <v>3.2915117867706747E-2</v>
      </c>
      <c r="AG194" s="41">
        <v>4.3814458927215479E-2</v>
      </c>
      <c r="AH194" s="41">
        <v>5.1050482771632578E-2</v>
      </c>
      <c r="AI194" s="41">
        <v>4.2566259138210071E-2</v>
      </c>
      <c r="AJ194" s="41">
        <v>5.4638859113956682E-2</v>
      </c>
      <c r="AK194" s="41">
        <v>5.0620761039796132E-2</v>
      </c>
      <c r="AL194" s="41">
        <v>6.6237450920698854E-2</v>
      </c>
      <c r="AM194" s="41">
        <v>7.860980760575606E-2</v>
      </c>
      <c r="AN194" s="41">
        <f>AN73/AVERAGE(AN116,AJ116)</f>
        <v>9.6127362943817532E-2</v>
      </c>
      <c r="AO194" s="41">
        <f>(AO73+AN73-AK73)/AVERAGE(AO116,AK116)</f>
        <v>9.249053832167918E-2</v>
      </c>
      <c r="AP194" s="41">
        <f>(AP73+AN73-AL73)/AVERAGE(AP116,AL116)</f>
        <v>9.4827752658553685E-2</v>
      </c>
      <c r="AQ194" s="41">
        <f>(AQ73+AN73-AM73)/AVERAGE(AQ116,AM116)</f>
        <v>0.11524646147056122</v>
      </c>
      <c r="AR194" s="65">
        <f>AR73/AVERAGE(AR116,AN116)</f>
        <v>0.13096993917000394</v>
      </c>
      <c r="AS194" s="41">
        <f>(AS73+AR73-AO73)/AVERAGE(AS116,AO116)</f>
        <v>0.16683848980353724</v>
      </c>
      <c r="AT194" s="41">
        <f>(AT73+AR73-AP73)/AVERAGE(AT116,AP116)</f>
        <v>0.17862225152116365</v>
      </c>
      <c r="AU194" s="41">
        <f>(AU73+AR73-AQ73)/AVERAGE(AU116,AQ116)</f>
        <v>0.1490613793709005</v>
      </c>
      <c r="AV194" s="65">
        <f>AV73/AVERAGE(AV116,AR116)</f>
        <v>0.11456966019382098</v>
      </c>
    </row>
    <row r="196" spans="1:48" ht="15" x14ac:dyDescent="0.25"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O196"/>
    </row>
  </sheetData>
  <hyperlinks>
    <hyperlink ref="B4" location="'Finansal Veriler - Eski Segment'!A43" display="Konsolide Özet Gelir Tablosu (Çeyreklik)" xr:uid="{00000000-0004-0000-0200-000000000000}"/>
    <hyperlink ref="B3" location="'Finansal Veriler - Eski Segment'!A27" display="Konsolide Özet Gelir Tablosu (Kümülatif)" xr:uid="{00000000-0004-0000-0200-000001000000}"/>
    <hyperlink ref="B5" location="'Finansal Veriler - Eski Segment'!A71" display="Konsolide Gelir, FAVÖK ve Net Kar Dağılımı (Kümülatif)" xr:uid="{00000000-0004-0000-0200-000002000000}"/>
    <hyperlink ref="B6" location="'Finansal Veriler - Eski Segment'!A99" display="Konsolide Gelir, FAVÖK ve Net Kar Dağılımı (Çeyreklik)" xr:uid="{00000000-0004-0000-0200-000003000000}"/>
    <hyperlink ref="A29" location="'Finansal Veriler - Eski Segment'!A1" display="Yukarı" xr:uid="{00000000-0004-0000-0200-000004000000}"/>
    <hyperlink ref="B7" location="'Finansal Veriler - Eski Segment'!A114" display="Konsolide Özet Bilanço" xr:uid="{00000000-0004-0000-0200-00000D000000}"/>
    <hyperlink ref="B8" location="'Finansal Veriler - Eski Segment'!A141" display="Bölümler bazında varlıklar ve kaynaklar:" xr:uid="{00000000-0004-0000-0200-00000E000000}"/>
    <hyperlink ref="B9" location="'Finansal Veriler - Eski Segment'!A156" display="Konsolide Özet Nakit Akım Tablosu" xr:uid="{00000000-0004-0000-0200-00000F000000}"/>
    <hyperlink ref="B10" location="'Finansal Veriler - Eski Segment'!A170" display="Maddi, maddi olmayan duran varlıklar ile ilgili bölümler bazında bilgi" xr:uid="{00000000-0004-0000-0200-000010000000}"/>
    <hyperlink ref="B12" location="'Finansal Veriler - Eski Segment'!A192" display="Rasyolar" xr:uid="{00000000-0004-0000-0200-000011000000}"/>
    <hyperlink ref="B11" location="'Finansal Veriler - Eski Segment'!A179" display="Net Nakit Durumu" xr:uid="{00000000-0004-0000-0200-000013000000}"/>
    <hyperlink ref="A45" location="'Finansal Veriler - Eski Segment'!A1" display="Yukarı" xr:uid="{44046E4B-15A0-4B49-8F77-E4BEDE411AD9}"/>
    <hyperlink ref="A73" location="'Finansal Veriler - Eski Segment'!A1" display="Yukarı" xr:uid="{1020E59E-7F43-488B-B00D-568A3108DB7F}"/>
    <hyperlink ref="A101" location="'Finansal Veriler - Eski Segment'!A1" display="Yukarı" xr:uid="{080DDAF2-1D28-4411-A323-C865B86C7F15}"/>
    <hyperlink ref="A116" location="'Finansal Veriler - Eski Segment'!A1" display="Yukarı" xr:uid="{4F79409D-B2C8-46D9-A69E-582A1ED5A0ED}"/>
    <hyperlink ref="A143" location="'Finansal Veriler - Eski Segment'!A1" display="Yukarı" xr:uid="{410DFE10-EEF6-407D-B420-E97425AFC101}"/>
    <hyperlink ref="A158" location="'Finansal Veriler - Eski Segment'!A1" display="Yukarı" xr:uid="{12077450-8B8D-4314-87EE-5C4C8D88332C}"/>
    <hyperlink ref="A172" location="'Finansal Veriler - Eski Segment'!A1" display="Yukarı" xr:uid="{4E4DE8C3-E062-4207-A02C-7AE1F7D3FBBD}"/>
    <hyperlink ref="A181" location="'Finansal Veriler - Eski Segment'!A1" display="Yukarı" xr:uid="{9A666A53-5118-41EE-85B0-8930470BB7CE}"/>
    <hyperlink ref="A194" location="'Finansal Veriler - Eski Segment'!A1" display="Yukarı" xr:uid="{5EA18773-26C7-4A8D-B71C-417090C8040E}"/>
  </hyperlinks>
  <pageMargins left="0.25" right="0.25" top="0.75" bottom="0.75" header="0.3" footer="0.3"/>
  <pageSetup paperSize="8" scale="33" orientation="portrait" horizontalDpi="4294967295" verticalDpi="4294967295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B87F6-7E33-4A22-9C08-36086750059B}">
  <sheetPr>
    <tabColor theme="7" tint="0.79998168889431442"/>
    <pageSetUpPr fitToPage="1"/>
  </sheetPr>
  <dimension ref="A2:AV128"/>
  <sheetViews>
    <sheetView zoomScale="80" zoomScaleNormal="80" workbookViewId="0">
      <pane xSplit="2" topLeftCell="X1" activePane="topRight" state="frozen"/>
      <selection pane="topRight"/>
    </sheetView>
  </sheetViews>
  <sheetFormatPr defaultColWidth="9.140625" defaultRowHeight="12.75" x14ac:dyDescent="0.2"/>
  <cols>
    <col min="1" max="1" width="6.7109375" style="56" customWidth="1"/>
    <col min="2" max="2" width="88.5703125" style="1" customWidth="1"/>
    <col min="3" max="32" width="9.140625" style="1"/>
    <col min="33" max="33" width="9.140625" style="1" customWidth="1"/>
    <col min="34" max="16384" width="9.140625" style="1"/>
  </cols>
  <sheetData>
    <row r="2" spans="1:48" s="94" customFormat="1" ht="24" customHeight="1" x14ac:dyDescent="0.25">
      <c r="A2" s="93"/>
      <c r="B2" s="92" t="s">
        <v>163</v>
      </c>
      <c r="C2" s="95"/>
    </row>
    <row r="3" spans="1:48" ht="15" customHeight="1" x14ac:dyDescent="0.25">
      <c r="A3" s="77" t="s">
        <v>203</v>
      </c>
      <c r="B3" s="96" t="s">
        <v>149</v>
      </c>
    </row>
    <row r="4" spans="1:48" ht="15" customHeight="1" x14ac:dyDescent="0.25">
      <c r="A4" s="77" t="s">
        <v>203</v>
      </c>
      <c r="B4" s="96" t="s">
        <v>150</v>
      </c>
    </row>
    <row r="5" spans="1:48" ht="15" customHeight="1" x14ac:dyDescent="0.25">
      <c r="A5" s="77" t="s">
        <v>203</v>
      </c>
      <c r="B5" s="96" t="s">
        <v>151</v>
      </c>
    </row>
    <row r="6" spans="1:48" ht="15" customHeight="1" x14ac:dyDescent="0.25">
      <c r="A6" s="77" t="s">
        <v>203</v>
      </c>
      <c r="B6" s="96" t="s">
        <v>152</v>
      </c>
    </row>
    <row r="7" spans="1:48" ht="15" customHeight="1" x14ac:dyDescent="0.25">
      <c r="A7" s="77" t="s">
        <v>203</v>
      </c>
      <c r="B7" s="96" t="s">
        <v>160</v>
      </c>
    </row>
    <row r="8" spans="1:48" ht="15" customHeight="1" x14ac:dyDescent="0.25">
      <c r="A8" s="77" t="s">
        <v>203</v>
      </c>
      <c r="B8" s="96" t="s">
        <v>165</v>
      </c>
    </row>
    <row r="9" spans="1:48" ht="15" customHeight="1" x14ac:dyDescent="0.25">
      <c r="A9" s="77"/>
      <c r="B9" s="96"/>
    </row>
    <row r="10" spans="1:48" ht="15" customHeight="1" x14ac:dyDescent="0.2">
      <c r="A10" s="77"/>
      <c r="B10" s="55"/>
    </row>
    <row r="13" spans="1:48" ht="15" customHeight="1" x14ac:dyDescent="0.2">
      <c r="A13" s="77"/>
      <c r="B13" s="86" t="s">
        <v>213</v>
      </c>
      <c r="C13" s="87">
        <v>1.2192148256522799</v>
      </c>
      <c r="D13" s="87">
        <v>1.2976901116013497</v>
      </c>
      <c r="E13" s="87">
        <v>1.647800000000001</v>
      </c>
      <c r="F13" s="87">
        <v>1.6056066298342526</v>
      </c>
      <c r="G13" s="87">
        <v>1.5675111371666295</v>
      </c>
      <c r="H13" s="87">
        <v>1.5456882254108053</v>
      </c>
      <c r="I13" s="87">
        <v>1.5019299800243313</v>
      </c>
      <c r="J13" s="87">
        <v>1.5163370149996058</v>
      </c>
      <c r="K13" s="87">
        <v>1.5141856482455887</v>
      </c>
      <c r="L13" s="87">
        <v>1.4990458573118211</v>
      </c>
      <c r="M13" s="87">
        <v>1.5706748718721972</v>
      </c>
      <c r="N13" s="87">
        <v>1.5641007593709186</v>
      </c>
      <c r="O13" s="87">
        <v>1.618099412791723</v>
      </c>
      <c r="P13" s="87">
        <v>1.6707991097982342</v>
      </c>
      <c r="Q13" s="87">
        <v>1.7899013764341585</v>
      </c>
      <c r="R13" s="87">
        <v>1.7934999973097501</v>
      </c>
      <c r="S13" s="87">
        <v>1.7942014995936133</v>
      </c>
      <c r="T13" s="87">
        <v>1.7922014147637966</v>
      </c>
      <c r="U13" s="87">
        <v>1.7803002654427698</v>
      </c>
      <c r="V13" s="87">
        <v>1.8089000000000004</v>
      </c>
      <c r="W13" s="87">
        <v>1.8627003567071183</v>
      </c>
      <c r="X13" s="87">
        <v>1.9033008947417507</v>
      </c>
      <c r="Y13" s="87">
        <v>2.2146000000000017</v>
      </c>
      <c r="Z13" s="87">
        <v>2.1628999999999983</v>
      </c>
      <c r="AA13" s="87">
        <v>2.1618000000000022</v>
      </c>
      <c r="AB13" s="87">
        <v>2.1865000000000001</v>
      </c>
      <c r="AC13" s="87">
        <v>2.4571000000000009</v>
      </c>
      <c r="AD13" s="87">
        <v>2.5606030732358085</v>
      </c>
      <c r="AE13" s="87">
        <v>2.6561999999999997</v>
      </c>
      <c r="AF13" s="87">
        <v>2.7190999999999996</v>
      </c>
      <c r="AG13" s="87">
        <v>2.9409000000000036</v>
      </c>
      <c r="AH13" s="87">
        <v>2.9180977504384442</v>
      </c>
      <c r="AI13" s="87">
        <v>2.9309000000000034</v>
      </c>
      <c r="AJ13" s="87">
        <v>3.0181000000000036</v>
      </c>
      <c r="AK13" s="87">
        <v>3.6928000000000014</v>
      </c>
      <c r="AL13" s="87">
        <v>3.6356000000000037</v>
      </c>
      <c r="AM13" s="87">
        <v>3.5935999999999981</v>
      </c>
      <c r="AN13" s="87">
        <v>3.6444999999999954</v>
      </c>
      <c r="AO13" s="87">
        <v>3.8093999999999948</v>
      </c>
      <c r="AP13" s="87">
        <v>4.0860000000000047</v>
      </c>
      <c r="AQ13" s="87">
        <v>4.6019999999999994</v>
      </c>
      <c r="AR13" s="87">
        <v>4.8301000000000016</v>
      </c>
      <c r="AS13" s="87">
        <v>5.3628999999999944</v>
      </c>
      <c r="AT13" s="87">
        <v>5.6197000000000008</v>
      </c>
      <c r="AU13" s="87">
        <v>5.6338000000000124</v>
      </c>
      <c r="AV13" s="87">
        <v>5.6711999999999883</v>
      </c>
    </row>
    <row r="14" spans="1:48" ht="15" customHeight="1" thickBot="1" x14ac:dyDescent="0.25">
      <c r="A14" s="77"/>
      <c r="B14" s="88" t="s">
        <v>214</v>
      </c>
      <c r="C14" s="89">
        <v>1.2316787781746521</v>
      </c>
      <c r="D14" s="89">
        <v>1.5124016938898972</v>
      </c>
      <c r="E14" s="89">
        <v>1.6880000000000013</v>
      </c>
      <c r="F14" s="89">
        <v>1.5301000000000007</v>
      </c>
      <c r="G14" s="89">
        <v>1.4819996324640912</v>
      </c>
      <c r="H14" s="89">
        <v>1.5056998266939499</v>
      </c>
      <c r="I14" s="89">
        <v>1.5215003210365678</v>
      </c>
      <c r="J14" s="89">
        <v>1.5746989962868598</v>
      </c>
      <c r="K14" s="89">
        <v>1.4511997794176337</v>
      </c>
      <c r="L14" s="89">
        <v>1.5459988776048148</v>
      </c>
      <c r="M14" s="89">
        <v>1.5482991933361201</v>
      </c>
      <c r="N14" s="89">
        <v>1.6301991125196031</v>
      </c>
      <c r="O14" s="89">
        <v>1.8453010331840485</v>
      </c>
      <c r="P14" s="89">
        <v>1.8888987531379331</v>
      </c>
      <c r="Q14" s="89">
        <v>1.772901903564774</v>
      </c>
      <c r="R14" s="89">
        <v>1.8064986984176878</v>
      </c>
      <c r="S14" s="89">
        <v>1.7847008305997667</v>
      </c>
      <c r="T14" s="89">
        <v>1.7826011002213991</v>
      </c>
      <c r="U14" s="89">
        <v>1.808700936726215</v>
      </c>
      <c r="V14" s="89">
        <v>1.9247999999999994</v>
      </c>
      <c r="W14" s="89">
        <v>2.0341989527943793</v>
      </c>
      <c r="X14" s="89">
        <v>2.134298605449291</v>
      </c>
      <c r="Y14" s="89">
        <v>2.1898000000000017</v>
      </c>
      <c r="Z14" s="89">
        <v>2.123399999999998</v>
      </c>
      <c r="AA14" s="89">
        <v>2.2788999999999988</v>
      </c>
      <c r="AB14" s="89">
        <v>2.3189000000000002</v>
      </c>
      <c r="AC14" s="89">
        <v>2.6101999999999981</v>
      </c>
      <c r="AD14" s="89">
        <v>2.686301741529419</v>
      </c>
      <c r="AE14" s="89">
        <v>3.0432999999999999</v>
      </c>
      <c r="AF14" s="89">
        <v>2.9076000000000026</v>
      </c>
      <c r="AG14" s="89">
        <v>2.8333999999999975</v>
      </c>
      <c r="AH14" s="89">
        <v>2.8936022454353423</v>
      </c>
      <c r="AI14" s="89">
        <v>2.9958999999999953</v>
      </c>
      <c r="AJ14" s="89">
        <v>3.5191999999999943</v>
      </c>
      <c r="AK14" s="89">
        <v>3.6386000000000003</v>
      </c>
      <c r="AL14" s="89">
        <v>3.5071000000000021</v>
      </c>
      <c r="AM14" s="89">
        <v>3.552099999999994</v>
      </c>
      <c r="AN14" s="89">
        <v>3.7718999999999978</v>
      </c>
      <c r="AO14" s="89">
        <v>3.9488999999999939</v>
      </c>
      <c r="AP14" s="89">
        <v>4.5606999999999998</v>
      </c>
      <c r="AQ14" s="89">
        <v>5.9902000000000015</v>
      </c>
      <c r="AR14" s="89">
        <v>5.2608999999999897</v>
      </c>
      <c r="AS14" s="89">
        <v>5.6284000000000054</v>
      </c>
      <c r="AT14" s="89">
        <v>5.7550999999999899</v>
      </c>
      <c r="AU14" s="89">
        <v>5.6590999999999907</v>
      </c>
      <c r="AV14" s="89">
        <v>5.9401999999999981</v>
      </c>
    </row>
    <row r="16" spans="1:48" ht="20.100000000000001" customHeight="1" x14ac:dyDescent="0.2">
      <c r="B16" s="32" t="s">
        <v>149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</row>
    <row r="17" spans="1:48" x14ac:dyDescent="0.2">
      <c r="B17" s="31" t="s">
        <v>244</v>
      </c>
      <c r="C17" s="35" t="s">
        <v>99</v>
      </c>
      <c r="D17" s="35">
        <v>2008</v>
      </c>
      <c r="E17" s="35" t="s">
        <v>100</v>
      </c>
      <c r="F17" s="35" t="s">
        <v>101</v>
      </c>
      <c r="G17" s="35" t="s">
        <v>102</v>
      </c>
      <c r="H17" s="35">
        <v>2009</v>
      </c>
      <c r="I17" s="35" t="s">
        <v>103</v>
      </c>
      <c r="J17" s="35" t="s">
        <v>104</v>
      </c>
      <c r="K17" s="35" t="s">
        <v>105</v>
      </c>
      <c r="L17" s="35">
        <v>2010</v>
      </c>
      <c r="M17" s="35" t="s">
        <v>106</v>
      </c>
      <c r="N17" s="35" t="s">
        <v>107</v>
      </c>
      <c r="O17" s="35" t="s">
        <v>108</v>
      </c>
      <c r="P17" s="35">
        <v>2011</v>
      </c>
      <c r="Q17" s="35" t="s">
        <v>96</v>
      </c>
      <c r="R17" s="35" t="s">
        <v>97</v>
      </c>
      <c r="S17" s="35" t="s">
        <v>98</v>
      </c>
      <c r="T17" s="35">
        <v>2012</v>
      </c>
      <c r="U17" s="35" t="s">
        <v>93</v>
      </c>
      <c r="V17" s="35" t="s">
        <v>94</v>
      </c>
      <c r="W17" s="35" t="s">
        <v>95</v>
      </c>
      <c r="X17" s="35">
        <v>2013</v>
      </c>
      <c r="Y17" s="35" t="s">
        <v>90</v>
      </c>
      <c r="Z17" s="35" t="s">
        <v>91</v>
      </c>
      <c r="AA17" s="35" t="s">
        <v>92</v>
      </c>
      <c r="AB17" s="35">
        <v>2014</v>
      </c>
      <c r="AC17" s="35" t="s">
        <v>87</v>
      </c>
      <c r="AD17" s="35" t="s">
        <v>88</v>
      </c>
      <c r="AE17" s="35" t="s">
        <v>89</v>
      </c>
      <c r="AF17" s="35">
        <v>2015</v>
      </c>
      <c r="AG17" s="35" t="s">
        <v>84</v>
      </c>
      <c r="AH17" s="35" t="s">
        <v>85</v>
      </c>
      <c r="AI17" s="35" t="s">
        <v>86</v>
      </c>
      <c r="AJ17" s="35">
        <v>2016</v>
      </c>
      <c r="AK17" s="35" t="s">
        <v>83</v>
      </c>
      <c r="AL17" s="35" t="s">
        <v>82</v>
      </c>
      <c r="AM17" s="35" t="s">
        <v>81</v>
      </c>
      <c r="AN17" s="35">
        <v>2017</v>
      </c>
      <c r="AO17" s="35" t="s">
        <v>171</v>
      </c>
      <c r="AP17" s="35" t="s">
        <v>174</v>
      </c>
      <c r="AQ17" s="35" t="s">
        <v>176</v>
      </c>
      <c r="AR17" s="35">
        <v>2018</v>
      </c>
      <c r="AS17" s="35" t="s">
        <v>187</v>
      </c>
      <c r="AT17" s="35" t="s">
        <v>189</v>
      </c>
      <c r="AU17" s="35" t="s">
        <v>192</v>
      </c>
      <c r="AV17" s="35">
        <v>2019</v>
      </c>
    </row>
    <row r="18" spans="1:48" ht="15" customHeight="1" x14ac:dyDescent="0.2">
      <c r="B18" s="9" t="s">
        <v>66</v>
      </c>
      <c r="C18" s="10">
        <f>'Finansallar - 2008-2019'!C18/C$13</f>
        <v>1459.033275</v>
      </c>
      <c r="D18" s="10">
        <f>'Finansallar - 2008-2019'!D18/D$13</f>
        <v>1940.2868045999999</v>
      </c>
      <c r="E18" s="10">
        <f>'Finansallar - 2008-2019'!E18/E$13</f>
        <v>390.81502609539967</v>
      </c>
      <c r="F18" s="10">
        <f>'Finansallar - 2008-2019'!F18/F$13</f>
        <v>749.38654191046089</v>
      </c>
      <c r="G18" s="10">
        <f>'Finansallar - 2008-2019'!G18/G$13</f>
        <v>1149.5650380239999</v>
      </c>
      <c r="H18" s="10">
        <f>'Finansallar - 2008-2019'!H18/H$13</f>
        <v>1520.3751709859998</v>
      </c>
      <c r="I18" s="10">
        <f>'Finansallar - 2008-2019'!I18/I$13</f>
        <v>400.82627553000003</v>
      </c>
      <c r="J18" s="10">
        <f>'Finansallar - 2008-2019'!J18/J$13</f>
        <v>727.63771449599994</v>
      </c>
      <c r="K18" s="10">
        <f>'Finansallar - 2008-2019'!K18/K$13</f>
        <v>1082.155944285</v>
      </c>
      <c r="L18" s="10">
        <f>'Finansallar - 2008-2019'!L18/L$13</f>
        <v>1508.762383064</v>
      </c>
      <c r="M18" s="10">
        <f>'Finansallar - 2008-2019'!M18/M$13</f>
        <v>439.20419964300004</v>
      </c>
      <c r="N18" s="10">
        <f>'Finansallar - 2008-2019'!N18/N$13</f>
        <v>890.76550321500008</v>
      </c>
      <c r="O18" s="10">
        <f>'Finansallar - 2008-2019'!O18/O$13</f>
        <v>1352.3742624839999</v>
      </c>
      <c r="P18" s="10">
        <f>'Finansallar - 2008-2019'!P18/P$13</f>
        <v>1921.9791183560001</v>
      </c>
      <c r="Q18" s="10">
        <f>'Finansallar - 2008-2019'!Q18/Q$13</f>
        <v>558.79000551000001</v>
      </c>
      <c r="R18" s="10">
        <f>'Finansallar - 2008-2019'!R18/R$13</f>
        <v>1098.716477812</v>
      </c>
      <c r="S18" s="10">
        <f>'Finansallar - 2008-2019'!S18/S$13</f>
        <v>1629.598459628</v>
      </c>
      <c r="T18" s="10">
        <f>'Finansallar - 2008-2019'!T18/T$13</f>
        <v>2203.2886301010003</v>
      </c>
      <c r="U18" s="10">
        <f>'Finansallar - 2008-2019'!U18/U$13</f>
        <v>594.5794765899999</v>
      </c>
      <c r="V18" s="10">
        <f>'Finansallar - 2008-2019'!V18/V$13</f>
        <v>1085.980430095638</v>
      </c>
      <c r="W18" s="10">
        <f>'Finansallar - 2008-2019'!W18/W$13</f>
        <v>1541.04871976</v>
      </c>
      <c r="X18" s="10">
        <f>'Finansallar - 2008-2019'!X18/X$13</f>
        <v>2020.7188525080001</v>
      </c>
      <c r="Y18" s="10">
        <f>'Finansallar - 2008-2019'!Y18/Y$13</f>
        <v>518.62819470784757</v>
      </c>
      <c r="Z18" s="10">
        <f>'Finansallar - 2008-2019'!Z18/Z$13</f>
        <v>990.39761431411603</v>
      </c>
      <c r="AA18" s="10">
        <f>'Finansallar - 2008-2019'!AA18/AA$13</f>
        <v>1478.7996114349139</v>
      </c>
      <c r="AB18" s="10">
        <f>'Finansallar - 2008-2019'!AB18/AB$13</f>
        <v>2046.5378458723987</v>
      </c>
      <c r="AC18" s="10">
        <f>'Finansallar - 2008-2019'!AC18/AC$13</f>
        <v>444.09751332872071</v>
      </c>
      <c r="AD18" s="10">
        <f>'Finansallar - 2008-2019'!AD18/AD$13</f>
        <v>796.758397006</v>
      </c>
      <c r="AE18" s="10">
        <f>'Finansallar - 2008-2019'!AE18/AE$13</f>
        <v>1071.6945260146076</v>
      </c>
      <c r="AF18" s="10">
        <f>'Finansallar - 2008-2019'!AF18/AF$13</f>
        <v>1429.9481446066716</v>
      </c>
      <c r="AG18" s="10">
        <f>'Finansallar - 2008-2019'!AG18/AG$13</f>
        <v>467.02404025978387</v>
      </c>
      <c r="AH18" s="10">
        <f>'Finansallar - 2008-2019'!AH18/AH$13</f>
        <v>835.57481912100002</v>
      </c>
      <c r="AI18" s="10">
        <f>'Finansallar - 2008-2019'!AI18/AI$13</f>
        <v>1164.7934081681381</v>
      </c>
      <c r="AJ18" s="10">
        <f>'Finansallar - 2008-2019'!AJ18/AJ$13</f>
        <v>1569.6620390311766</v>
      </c>
      <c r="AK18" s="10">
        <f>'Finansallar - 2008-2019'!AK18/AK$13</f>
        <v>443.28829072790273</v>
      </c>
      <c r="AL18" s="10">
        <f>'Finansallar - 2008-2019'!AL18/AL$13</f>
        <v>919.87484871822994</v>
      </c>
      <c r="AM18" s="10">
        <f>'Finansallar - 2008-2019'!AM18/AM$13</f>
        <v>1410.9547528940345</v>
      </c>
      <c r="AN18" s="10">
        <f>'Finansallar - 2008-2019'!AN18/AN$13</f>
        <v>2054.3649334613829</v>
      </c>
      <c r="AO18" s="10">
        <f>'Finansallar - 2008-2019'!AO18/AO$13</f>
        <v>594.82569433506671</v>
      </c>
      <c r="AP18" s="10">
        <f>'Finansallar - 2008-2019'!AP18/AP$13</f>
        <v>1248.7782672540368</v>
      </c>
      <c r="AQ18" s="10">
        <f>'Finansallar - 2008-2019'!AQ18/AQ$13</f>
        <v>1816.2692307692309</v>
      </c>
      <c r="AR18" s="10">
        <f>'Finansallar - 2008-2019'!AR18/AR$13</f>
        <v>2514.8901679054256</v>
      </c>
      <c r="AS18" s="10">
        <f>'Finansallar - 2008-2019'!AS18/AS$13</f>
        <v>855.40994611124665</v>
      </c>
      <c r="AT18" s="10">
        <f>'Finansallar - 2008-2019'!AT18/AT$13</f>
        <v>1477.9940210331511</v>
      </c>
      <c r="AU18" s="10">
        <f>'Finansallar - 2008-2019'!AU18/AU$13</f>
        <v>2005.1856650928282</v>
      </c>
      <c r="AV18" s="10">
        <f>'Finansallar - 2008-2019'!AV18/AV$13</f>
        <v>2575.0024686133497</v>
      </c>
    </row>
    <row r="19" spans="1:48" ht="15" customHeight="1" x14ac:dyDescent="0.2">
      <c r="B19" s="2" t="s">
        <v>67</v>
      </c>
      <c r="C19" s="3">
        <f>'Finansallar - 2008-2019'!C19/C$13</f>
        <v>300.43597920000002</v>
      </c>
      <c r="D19" s="3">
        <f>'Finansallar - 2008-2019'!D19/D$13</f>
        <v>243.50189399999999</v>
      </c>
      <c r="E19" s="3">
        <f>'Finansallar - 2008-2019'!E19/E$13</f>
        <v>69.463527127078493</v>
      </c>
      <c r="F19" s="3">
        <f>'Finansallar - 2008-2019'!F19/F$13</f>
        <v>78.347334684950738</v>
      </c>
      <c r="G19" s="3">
        <f>'Finansallar - 2008-2019'!G19/G$13</f>
        <v>130.120925564</v>
      </c>
      <c r="H19" s="3">
        <f>'Finansallar - 2008-2019'!H19/H$13</f>
        <v>181.40592351699999</v>
      </c>
      <c r="I19" s="3">
        <f>'Finansallar - 2008-2019'!I19/I$13</f>
        <v>90.854435169999988</v>
      </c>
      <c r="J19" s="3">
        <f>'Finansallar - 2008-2019'!J19/J$13</f>
        <v>149.410057104</v>
      </c>
      <c r="K19" s="3">
        <f>'Finansallar - 2008-2019'!K19/K$13</f>
        <v>197.41040363600001</v>
      </c>
      <c r="L19" s="3">
        <f>'Finansallar - 2008-2019'!L19/L$13</f>
        <v>268.42274239799997</v>
      </c>
      <c r="M19" s="3">
        <f>'Finansallar - 2008-2019'!M19/M$13</f>
        <v>82.779066711000013</v>
      </c>
      <c r="N19" s="3">
        <f>'Finansallar - 2008-2019'!N19/N$13</f>
        <v>164.90178043500001</v>
      </c>
      <c r="O19" s="3">
        <f>'Finansallar - 2008-2019'!O19/O$13</f>
        <v>230.83130557200002</v>
      </c>
      <c r="P19" s="3">
        <f>'Finansallar - 2008-2019'!P19/P$13</f>
        <v>300.13123484400001</v>
      </c>
      <c r="Q19" s="3">
        <f>'Finansallar - 2008-2019'!Q19/Q$13</f>
        <v>72.734733719999994</v>
      </c>
      <c r="R19" s="3">
        <f>'Finansallar - 2008-2019'!R19/R$13</f>
        <v>139.50599407600001</v>
      </c>
      <c r="S19" s="3">
        <f>'Finansallar - 2008-2019'!S19/S$13</f>
        <v>187.14341732300002</v>
      </c>
      <c r="T19" s="3">
        <f>'Finansallar - 2008-2019'!T19/T$13</f>
        <v>214.96579392600003</v>
      </c>
      <c r="U19" s="3">
        <f>'Finansallar - 2008-2019'!U19/U$13</f>
        <v>89.364138784999994</v>
      </c>
      <c r="V19" s="3">
        <f>'Finansallar - 2008-2019'!V19/V$13</f>
        <v>49.133174857648278</v>
      </c>
      <c r="W19" s="3">
        <f>'Finansallar - 2008-2019'!W19/W$13</f>
        <v>77.418248984999991</v>
      </c>
      <c r="X19" s="3">
        <f>'Finansallar - 2008-2019'!X19/X$13</f>
        <v>66.848074495999995</v>
      </c>
      <c r="Y19" s="3">
        <f>'Finansallar - 2008-2019'!Y19/Y$13</f>
        <v>97.331798067370997</v>
      </c>
      <c r="Z19" s="3">
        <f>'Finansallar - 2008-2019'!Z19/Z$13</f>
        <v>148.08729021221521</v>
      </c>
      <c r="AA19" s="3">
        <f>'Finansallar - 2008-2019'!AA19/AA$13</f>
        <v>197.36377093163085</v>
      </c>
      <c r="AB19" s="3">
        <f>'Finansallar - 2008-2019'!AB19/AB$13</f>
        <v>206.91699062428538</v>
      </c>
      <c r="AC19" s="3">
        <f>'Finansallar - 2008-2019'!AC19/AC$13</f>
        <v>46.899190102152929</v>
      </c>
      <c r="AD19" s="3">
        <f>'Finansallar - 2008-2019'!AD19/AD$13</f>
        <v>82.971079047999993</v>
      </c>
      <c r="AE19" s="3">
        <f>'Finansallar - 2008-2019'!AE19/AE$13</f>
        <v>121.27324749642347</v>
      </c>
      <c r="AF19" s="3">
        <f>'Finansallar - 2008-2019'!AF19/AF$13</f>
        <v>150.37107866573501</v>
      </c>
      <c r="AG19" s="3">
        <f>'Finansallar - 2008-2019'!AG19/AG$13</f>
        <v>75.89275391886828</v>
      </c>
      <c r="AH19" s="3">
        <f>'Finansallar - 2008-2019'!AH19/AH$13</f>
        <v>127.82128355499999</v>
      </c>
      <c r="AI19" s="3">
        <f>'Finansallar - 2008-2019'!AI19/AI$13</f>
        <v>151.95332491726074</v>
      </c>
      <c r="AJ19" s="3">
        <f>'Finansallar - 2008-2019'!AJ19/AJ$13</f>
        <v>216.54186408667678</v>
      </c>
      <c r="AK19" s="3">
        <f>'Finansallar - 2008-2019'!AK19/AK$13</f>
        <v>71.946219670710548</v>
      </c>
      <c r="AL19" s="3">
        <f>'Finansallar - 2008-2019'!AL19/AL$13</f>
        <v>137.20871382990416</v>
      </c>
      <c r="AM19" s="3">
        <f>'Finansallar - 2008-2019'!AM19/AM$13</f>
        <v>203.83542965271604</v>
      </c>
      <c r="AN19" s="3">
        <f>'Finansallar - 2008-2019'!AN19/AN$13</f>
        <v>282.18822883797537</v>
      </c>
      <c r="AO19" s="3">
        <f>'Finansallar - 2008-2019'!AO19/AO$13</f>
        <v>89.48915839764804</v>
      </c>
      <c r="AP19" s="3">
        <f>'Finansallar - 2008-2019'!AP19/AP$13</f>
        <v>179.57586882036199</v>
      </c>
      <c r="AQ19" s="3">
        <f>'Finansallar - 2008-2019'!AQ19/AQ$13</f>
        <v>264.53650586701474</v>
      </c>
      <c r="AR19" s="3">
        <f>'Finansallar - 2008-2019'!AR19/AR$13</f>
        <v>373.35500300200812</v>
      </c>
      <c r="AS19" s="3">
        <f>'Finansallar - 2008-2019'!AS19/AS$13</f>
        <v>198.34268772492516</v>
      </c>
      <c r="AT19" s="3">
        <f>'Finansallar - 2008-2019'!AT19/AT$13</f>
        <v>290.5843728312899</v>
      </c>
      <c r="AU19" s="3">
        <f>'Finansallar - 2008-2019'!AU19/AU$13</f>
        <v>381.19226809613326</v>
      </c>
      <c r="AV19" s="3">
        <f>'Finansallar - 2008-2019'!AV19/AV$13</f>
        <v>423.46628579489436</v>
      </c>
    </row>
    <row r="20" spans="1:48" ht="15" customHeight="1" x14ac:dyDescent="0.2">
      <c r="B20" s="22" t="s">
        <v>68</v>
      </c>
      <c r="C20" s="38">
        <f t="shared" ref="C20" si="0">+C19/C18</f>
        <v>0.20591441219872111</v>
      </c>
      <c r="D20" s="38">
        <f t="shared" ref="D20:AV20" si="1">+D19/D18</f>
        <v>0.12549788692203118</v>
      </c>
      <c r="E20" s="38">
        <f t="shared" si="1"/>
        <v>0.17774016475539028</v>
      </c>
      <c r="F20" s="38">
        <f t="shared" si="1"/>
        <v>0.10454862784860623</v>
      </c>
      <c r="G20" s="38">
        <f t="shared" si="1"/>
        <v>0.11319144307630154</v>
      </c>
      <c r="H20" s="38">
        <f t="shared" si="1"/>
        <v>0.11931655224240073</v>
      </c>
      <c r="I20" s="38">
        <f t="shared" si="1"/>
        <v>0.22666786265412869</v>
      </c>
      <c r="J20" s="38">
        <f t="shared" si="1"/>
        <v>0.20533577923113736</v>
      </c>
      <c r="K20" s="38">
        <f t="shared" si="1"/>
        <v>0.18242324932792622</v>
      </c>
      <c r="L20" s="38">
        <f t="shared" si="1"/>
        <v>0.17790922242698423</v>
      </c>
      <c r="M20" s="38">
        <f t="shared" si="1"/>
        <v>0.1884751256438022</v>
      </c>
      <c r="N20" s="38">
        <f t="shared" si="1"/>
        <v>0.18512367153849962</v>
      </c>
      <c r="O20" s="38">
        <f t="shared" si="1"/>
        <v>0.17068596465893701</v>
      </c>
      <c r="P20" s="38">
        <f t="shared" si="1"/>
        <v>0.1561573858829032</v>
      </c>
      <c r="Q20" s="38">
        <f t="shared" si="1"/>
        <v>0.13016470051860715</v>
      </c>
      <c r="R20" s="38">
        <f t="shared" si="1"/>
        <v>0.12697178652841748</v>
      </c>
      <c r="S20" s="38">
        <f t="shared" si="1"/>
        <v>0.11484020263845891</v>
      </c>
      <c r="T20" s="38">
        <f t="shared" si="1"/>
        <v>9.756587992565724E-2</v>
      </c>
      <c r="U20" s="38">
        <f t="shared" si="1"/>
        <v>0.15029805484965</v>
      </c>
      <c r="V20" s="38">
        <f t="shared" si="1"/>
        <v>4.5243149412297713E-2</v>
      </c>
      <c r="W20" s="38">
        <f t="shared" si="1"/>
        <v>5.0237379254990042E-2</v>
      </c>
      <c r="X20" s="38">
        <f t="shared" si="1"/>
        <v>3.3081333612061871E-2</v>
      </c>
      <c r="Y20" s="38">
        <f t="shared" si="1"/>
        <v>0.1876716288480994</v>
      </c>
      <c r="Z20" s="38">
        <f t="shared" si="1"/>
        <v>0.14952306838377299</v>
      </c>
      <c r="AA20" s="38">
        <f t="shared" si="1"/>
        <v>0.13346214686932745</v>
      </c>
      <c r="AB20" s="38">
        <f t="shared" si="1"/>
        <v>0.10110587060073679</v>
      </c>
      <c r="AC20" s="38">
        <f t="shared" si="1"/>
        <v>0.10560561294437643</v>
      </c>
      <c r="AD20" s="38">
        <f t="shared" si="1"/>
        <v>0.10413580749168455</v>
      </c>
      <c r="AE20" s="38">
        <f t="shared" si="1"/>
        <v>0.11316027520212459</v>
      </c>
      <c r="AF20" s="38">
        <f t="shared" si="1"/>
        <v>0.10515841377387626</v>
      </c>
      <c r="AG20" s="38">
        <f t="shared" si="1"/>
        <v>0.16250288502633109</v>
      </c>
      <c r="AH20" s="38">
        <f t="shared" si="1"/>
        <v>0.15297407321281439</v>
      </c>
      <c r="AI20" s="38">
        <f t="shared" si="1"/>
        <v>0.13045517243803484</v>
      </c>
      <c r="AJ20" s="38">
        <f t="shared" si="1"/>
        <v>0.13795445051364705</v>
      </c>
      <c r="AK20" s="38">
        <f t="shared" si="1"/>
        <v>0.16230119580323465</v>
      </c>
      <c r="AL20" s="38">
        <f t="shared" si="1"/>
        <v>0.1491601971954046</v>
      </c>
      <c r="AM20" s="38">
        <f t="shared" si="1"/>
        <v>0.14446631207317281</v>
      </c>
      <c r="AN20" s="38">
        <f t="shared" si="1"/>
        <v>0.13736032203515017</v>
      </c>
      <c r="AO20" s="38">
        <f t="shared" si="1"/>
        <v>0.15044602015332342</v>
      </c>
      <c r="AP20" s="38">
        <f t="shared" si="1"/>
        <v>0.14380124440765207</v>
      </c>
      <c r="AQ20" s="38">
        <f t="shared" si="1"/>
        <v>0.14564828902319596</v>
      </c>
      <c r="AR20" s="38">
        <f t="shared" si="1"/>
        <v>0.14845777671196034</v>
      </c>
      <c r="AS20" s="38">
        <f t="shared" si="1"/>
        <v>0.23186857789835724</v>
      </c>
      <c r="AT20" s="38">
        <f t="shared" si="1"/>
        <v>0.19660727221898022</v>
      </c>
      <c r="AU20" s="38">
        <f t="shared" si="1"/>
        <v>0.19010322821078332</v>
      </c>
      <c r="AV20" s="38">
        <f t="shared" si="1"/>
        <v>0.16445276886391991</v>
      </c>
    </row>
    <row r="21" spans="1:48" ht="15" customHeight="1" x14ac:dyDescent="0.2">
      <c r="B21" s="2" t="s">
        <v>69</v>
      </c>
      <c r="C21" s="3">
        <f>'Finansallar - 2008-2019'!C21/C$13</f>
        <v>216.30806520000002</v>
      </c>
      <c r="D21" s="3">
        <f>'Finansallar - 2008-2019'!D21/D$13</f>
        <v>131.02280619999999</v>
      </c>
      <c r="E21" s="3">
        <f>'Finansallar - 2008-2019'!E21/E$13</f>
        <v>46.833960432091246</v>
      </c>
      <c r="F21" s="3">
        <f>'Finansallar - 2008-2019'!F21/F$13</f>
        <v>34.57197981658198</v>
      </c>
      <c r="G21" s="3">
        <f>'Finansallar - 2008-2019'!G21/G$13</f>
        <v>61.290792596000003</v>
      </c>
      <c r="H21" s="3">
        <f>'Finansallar - 2008-2019'!H21/H$13</f>
        <v>81.163845293999998</v>
      </c>
      <c r="I21" s="3">
        <f>'Finansallar - 2008-2019'!I21/I$13</f>
        <v>58.035328650000004</v>
      </c>
      <c r="J21" s="3">
        <f>'Finansallar - 2008-2019'!J21/J$13</f>
        <v>93.384912851999999</v>
      </c>
      <c r="K21" s="3">
        <f>'Finansallar - 2008-2019'!K21/K$13</f>
        <v>114.52294518900001</v>
      </c>
      <c r="L21" s="3">
        <f>'Finansallar - 2008-2019'!L21/L$13</f>
        <v>150.71453544799999</v>
      </c>
      <c r="M21" s="3">
        <f>'Finansallar - 2008-2019'!M21/M$13</f>
        <v>50.388531336000007</v>
      </c>
      <c r="N21" s="3">
        <f>'Finansallar - 2008-2019'!N21/N$13</f>
        <v>102.50938057500001</v>
      </c>
      <c r="O21" s="3">
        <f>'Finansallar - 2008-2019'!O21/O$13</f>
        <v>146.38655581200001</v>
      </c>
      <c r="P21" s="3">
        <f>'Finansallar - 2008-2019'!P21/P$13</f>
        <v>180.93497789599999</v>
      </c>
      <c r="Q21" s="3">
        <f>'Finansallar - 2008-2019'!Q21/Q$13</f>
        <v>57.422716890000004</v>
      </c>
      <c r="R21" s="3">
        <f>'Finansallar - 2008-2019'!R21/R$13</f>
        <v>95.750766800999997</v>
      </c>
      <c r="S21" s="3">
        <f>'Finansallar - 2008-2019'!S21/S$13</f>
        <v>119.81374447</v>
      </c>
      <c r="T21" s="3">
        <f>'Finansallar - 2008-2019'!T21/T$13</f>
        <v>111.62026675800001</v>
      </c>
      <c r="U21" s="3">
        <f>'Finansallar - 2008-2019'!U21/U$13</f>
        <v>60.15502108199999</v>
      </c>
      <c r="V21" s="3">
        <f>'Finansallar - 2008-2019'!V21/V$13</f>
        <v>-24.248991099563263</v>
      </c>
      <c r="W21" s="3">
        <f>'Finansallar - 2008-2019'!W21/W$13</f>
        <v>-21.822082040000002</v>
      </c>
      <c r="X21" s="3">
        <f>'Finansallar - 2008-2019'!X21/X$13</f>
        <v>-64.911964440999995</v>
      </c>
      <c r="Y21" s="3">
        <f>'Finansallar - 2008-2019'!Y21/Y$13</f>
        <v>63.174839700171546</v>
      </c>
      <c r="Z21" s="3">
        <f>'Finansallar - 2008-2019'!Z21/Z$13</f>
        <v>93.917888020713008</v>
      </c>
      <c r="AA21" s="3">
        <f>'Finansallar - 2008-2019'!AA21/AA$13</f>
        <v>119.93847719493004</v>
      </c>
      <c r="AB21" s="3">
        <f>'Finansallar - 2008-2019'!AB21/AB$13</f>
        <v>11.211982620626571</v>
      </c>
      <c r="AC21" s="3">
        <f>'Finansallar - 2008-2019'!AC21/AC$13</f>
        <v>10.873794310365874</v>
      </c>
      <c r="AD21" s="3">
        <f>'Finansallar - 2008-2019'!AD21/AD$13</f>
        <v>22.451351636999998</v>
      </c>
      <c r="AE21" s="3">
        <f>'Finansallar - 2008-2019'!AE21/AE$13</f>
        <v>26.363602138393198</v>
      </c>
      <c r="AF21" s="3">
        <f>'Finansallar - 2008-2019'!AF21/AF$13</f>
        <v>42.853517708065176</v>
      </c>
      <c r="AG21" s="3">
        <f>'Finansallar - 2008-2019'!AG21/AG$13</f>
        <v>56.370498826889659</v>
      </c>
      <c r="AH21" s="3">
        <f>'Finansallar - 2008-2019'!AH21/AH$13</f>
        <v>85.643121434999998</v>
      </c>
      <c r="AI21" s="3">
        <f>'Finansallar - 2008-2019'!AI21/AI$13</f>
        <v>86.107339042614797</v>
      </c>
      <c r="AJ21" s="3">
        <f>'Finansallar - 2008-2019'!AJ21/AJ$13</f>
        <v>103.8047115735064</v>
      </c>
      <c r="AK21" s="3">
        <f>'Finansallar - 2008-2019'!AK21/AK$13</f>
        <v>44.321382149046777</v>
      </c>
      <c r="AL21" s="3">
        <f>'Finansallar - 2008-2019'!AL21/AL$13</f>
        <v>119.2111343382109</v>
      </c>
      <c r="AM21" s="3">
        <f>'Finansallar - 2008-2019'!AM21/AM$13</f>
        <v>157.59349955476409</v>
      </c>
      <c r="AN21" s="3">
        <f>'Finansallar - 2008-2019'!AN21/AN$13</f>
        <v>213.52640965838961</v>
      </c>
      <c r="AO21" s="3">
        <f>'Finansallar - 2008-2019'!AO21/AO$13</f>
        <v>55.494303564865938</v>
      </c>
      <c r="AP21" s="3">
        <f>'Finansallar - 2008-2019'!AP21/AP$13</f>
        <v>93.979441997063034</v>
      </c>
      <c r="AQ21" s="3">
        <f>'Finansallar - 2008-2019'!AQ21/AQ$13</f>
        <v>107.16883963494173</v>
      </c>
      <c r="AR21" s="3">
        <f>'Finansallar - 2008-2019'!AR21/AR$13</f>
        <v>230.23581292312778</v>
      </c>
      <c r="AS21" s="3">
        <f>'Finansallar - 2008-2019'!AS21/AS$13</f>
        <v>158.75440526580783</v>
      </c>
      <c r="AT21" s="3">
        <f>'Finansallar - 2008-2019'!AT21/AT$13</f>
        <v>228.39101731409147</v>
      </c>
      <c r="AU21" s="3">
        <f>'Finansallar - 2008-2019'!AU21/AU$13</f>
        <v>285.1741275870632</v>
      </c>
      <c r="AV21" s="3">
        <f>'Finansallar - 2008-2019'!AV21/AV$13</f>
        <v>282.72517280293471</v>
      </c>
    </row>
    <row r="22" spans="1:48" ht="15" customHeight="1" x14ac:dyDescent="0.2">
      <c r="B22" s="22" t="s">
        <v>68</v>
      </c>
      <c r="C22" s="38">
        <f t="shared" ref="C22" si="2">+C21/C18</f>
        <v>0.1482543742533905</v>
      </c>
      <c r="D22" s="38">
        <f t="shared" ref="D22:AV22" si="3">+D21/D18</f>
        <v>6.7527545870730704E-2</v>
      </c>
      <c r="E22" s="38">
        <f t="shared" si="3"/>
        <v>0.11983664215781424</v>
      </c>
      <c r="F22" s="38">
        <f t="shared" si="3"/>
        <v>4.6133707883845014E-2</v>
      </c>
      <c r="G22" s="38">
        <f t="shared" si="3"/>
        <v>5.3316507173316111E-2</v>
      </c>
      <c r="H22" s="38">
        <f t="shared" si="3"/>
        <v>5.3384090218576312E-2</v>
      </c>
      <c r="I22" s="38">
        <f t="shared" si="3"/>
        <v>0.14478923212621655</v>
      </c>
      <c r="J22" s="38">
        <f t="shared" si="3"/>
        <v>0.12833984686552879</v>
      </c>
      <c r="K22" s="38">
        <f t="shared" si="3"/>
        <v>0.10582850447184615</v>
      </c>
      <c r="L22" s="38">
        <f t="shared" si="3"/>
        <v>9.9892824171509617E-2</v>
      </c>
      <c r="M22" s="38">
        <f t="shared" si="3"/>
        <v>0.11472688871590368</v>
      </c>
      <c r="N22" s="38">
        <f t="shared" si="3"/>
        <v>0.11508009706821547</v>
      </c>
      <c r="O22" s="38">
        <f t="shared" si="3"/>
        <v>0.1082441154589275</v>
      </c>
      <c r="P22" s="38">
        <f t="shared" si="3"/>
        <v>9.4139929080377327E-2</v>
      </c>
      <c r="Q22" s="38">
        <f t="shared" si="3"/>
        <v>0.10276260549361664</v>
      </c>
      <c r="R22" s="38">
        <f t="shared" si="3"/>
        <v>8.7147839078266551E-2</v>
      </c>
      <c r="S22" s="38">
        <f t="shared" si="3"/>
        <v>7.352347675718271E-2</v>
      </c>
      <c r="T22" s="38">
        <f t="shared" si="3"/>
        <v>5.066075557830263E-2</v>
      </c>
      <c r="U22" s="38">
        <f t="shared" si="3"/>
        <v>0.10117238056550122</v>
      </c>
      <c r="V22" s="38">
        <f t="shared" si="3"/>
        <v>-2.2329123460749428E-2</v>
      </c>
      <c r="W22" s="38">
        <f t="shared" si="3"/>
        <v>-1.4160540001226263E-2</v>
      </c>
      <c r="X22" s="38">
        <f t="shared" si="3"/>
        <v>-3.2123204254978367E-2</v>
      </c>
      <c r="Y22" s="38">
        <f t="shared" si="3"/>
        <v>0.12181142549675505</v>
      </c>
      <c r="Z22" s="38">
        <f t="shared" si="3"/>
        <v>9.482846754003374E-2</v>
      </c>
      <c r="AA22" s="38">
        <f t="shared" si="3"/>
        <v>8.1105293961060032E-2</v>
      </c>
      <c r="AB22" s="38">
        <f t="shared" si="3"/>
        <v>5.478512231395909E-3</v>
      </c>
      <c r="AC22" s="38">
        <f t="shared" si="3"/>
        <v>2.4485150184385514E-2</v>
      </c>
      <c r="AD22" s="38">
        <f t="shared" si="3"/>
        <v>2.8178368400466232E-2</v>
      </c>
      <c r="AE22" s="38">
        <f t="shared" si="3"/>
        <v>2.4599922364475949E-2</v>
      </c>
      <c r="AF22" s="38">
        <f t="shared" si="3"/>
        <v>2.9968581636820594E-2</v>
      </c>
      <c r="AG22" s="38">
        <f t="shared" si="3"/>
        <v>0.12070149278725215</v>
      </c>
      <c r="AH22" s="38">
        <f t="shared" si="3"/>
        <v>0.10249605358511645</v>
      </c>
      <c r="AI22" s="38">
        <f t="shared" si="3"/>
        <v>7.3924988275848133E-2</v>
      </c>
      <c r="AJ22" s="38">
        <f t="shared" si="3"/>
        <v>6.6131886350246777E-2</v>
      </c>
      <c r="AK22" s="38">
        <f t="shared" si="3"/>
        <v>9.9983200720841811E-2</v>
      </c>
      <c r="AL22" s="38">
        <f t="shared" si="3"/>
        <v>0.12959494925241388</v>
      </c>
      <c r="AM22" s="38">
        <f t="shared" si="3"/>
        <v>0.11169280888102276</v>
      </c>
      <c r="AN22" s="38">
        <f t="shared" si="3"/>
        <v>0.10393791588849829</v>
      </c>
      <c r="AO22" s="38">
        <f t="shared" si="3"/>
        <v>9.3295067939021925E-2</v>
      </c>
      <c r="AP22" s="38">
        <f t="shared" si="3"/>
        <v>7.5257108857056179E-2</v>
      </c>
      <c r="AQ22" s="38">
        <f t="shared" si="3"/>
        <v>5.9004930447207608E-2</v>
      </c>
      <c r="AR22" s="38">
        <f t="shared" si="3"/>
        <v>9.1549052861773311E-2</v>
      </c>
      <c r="AS22" s="38">
        <f t="shared" si="3"/>
        <v>0.18558868293210343</v>
      </c>
      <c r="AT22" s="38">
        <f t="shared" si="3"/>
        <v>0.15452770042631228</v>
      </c>
      <c r="AU22" s="38">
        <f t="shared" si="3"/>
        <v>0.14221831551636457</v>
      </c>
      <c r="AV22" s="38">
        <f t="shared" si="3"/>
        <v>0.10979607835295919</v>
      </c>
    </row>
    <row r="23" spans="1:48" ht="15" customHeight="1" x14ac:dyDescent="0.2">
      <c r="B23" s="2" t="s">
        <v>70</v>
      </c>
      <c r="C23" s="3">
        <f>'Finansallar - 2008-2019'!C23/C$13</f>
        <v>255.0822</v>
      </c>
      <c r="D23" s="3">
        <f>'Finansallar - 2008-2019'!D23/D$13</f>
        <v>190.33819999999997</v>
      </c>
      <c r="E23" s="3">
        <f>'Finansallar - 2008-2019'!E23/E$13</f>
        <v>56.438888214589113</v>
      </c>
      <c r="F23" s="3">
        <f>'Finansallar - 2008-2019'!F23/F$13</f>
        <v>56.05358020307299</v>
      </c>
      <c r="G23" s="3">
        <f>'Finansallar - 2008-2019'!G23/G$13</f>
        <v>96.969008000000002</v>
      </c>
      <c r="H23" s="3">
        <f>'Finansallar - 2008-2019'!H23/H$13</f>
        <v>130.68612200000001</v>
      </c>
      <c r="I23" s="3">
        <f>'Finansallar - 2008-2019'!I23/I$13</f>
        <v>71.907479999999993</v>
      </c>
      <c r="J23" s="3">
        <f>'Finansallar - 2008-2019'!J23/J$13</f>
        <v>116.06918399999999</v>
      </c>
      <c r="K23" s="3">
        <f>'Finansallar - 2008-2019'!K23/K$13</f>
        <v>147.27388300000001</v>
      </c>
      <c r="L23" s="3">
        <f>'Finansallar - 2008-2019'!L23/L$13</f>
        <v>199.46020899999999</v>
      </c>
      <c r="M23" s="3">
        <f>'Finansallar - 2008-2019'!M23/M$13</f>
        <v>59.846886000000005</v>
      </c>
      <c r="N23" s="3">
        <f>'Finansallar - 2008-2019'!N23/N$13</f>
        <v>120.83620500000001</v>
      </c>
      <c r="O23" s="3">
        <f>'Finansallar - 2008-2019'!O23/O$13</f>
        <v>174.27853800000003</v>
      </c>
      <c r="P23" s="3">
        <f>'Finansallar - 2008-2019'!P23/P$13</f>
        <v>216.66279200000002</v>
      </c>
      <c r="Q23" s="3">
        <f>'Finansallar - 2008-2019'!Q23/Q$13</f>
        <v>54.192929999999997</v>
      </c>
      <c r="R23" s="3">
        <f>'Finansallar - 2008-2019'!R23/R$13</f>
        <v>108.168386</v>
      </c>
      <c r="S23" s="3">
        <f>'Finansallar - 2008-2019'!S23/S$13</f>
        <v>146.02596199999999</v>
      </c>
      <c r="T23" s="3">
        <f>'Finansallar - 2008-2019'!T23/T$13</f>
        <v>156.79041300000003</v>
      </c>
      <c r="U23" s="3">
        <f>'Finansallar - 2008-2019'!U23/U$13</f>
        <v>67.966062999999991</v>
      </c>
      <c r="V23" s="3">
        <f>'Finansallar - 2008-2019'!V23/V$13</f>
        <v>11.056443142241138</v>
      </c>
      <c r="W23" s="3">
        <f>'Finansallar - 2008-2019'!W23/W$13</f>
        <v>31.674444999999999</v>
      </c>
      <c r="X23" s="3">
        <f>'Finansallar - 2008-2019'!X23/X$13</f>
        <v>5.2540300000000002</v>
      </c>
      <c r="Y23" s="3">
        <f>'Finansallar - 2008-2019'!Y23/Y$13</f>
        <v>76.311749300099279</v>
      </c>
      <c r="Z23" s="3">
        <f>'Finansallar - 2008-2019'!Z23/Z$13</f>
        <v>116.04789865458422</v>
      </c>
      <c r="AA23" s="3">
        <f>'Finansallar - 2008-2019'!AA23/AA$13</f>
        <v>154.96345637894331</v>
      </c>
      <c r="AB23" s="3">
        <f>'Finansallar - 2008-2019'!AB23/AB$13</f>
        <v>85.982163274639831</v>
      </c>
      <c r="AC23" s="3">
        <f>'Finansallar - 2008-2019'!AC23/AC$13</f>
        <v>30.116804362866784</v>
      </c>
      <c r="AD23" s="3">
        <f>'Finansallar - 2008-2019'!AD23/AD$13</f>
        <v>61.313681000000003</v>
      </c>
      <c r="AE23" s="3">
        <f>'Finansallar - 2008-2019'!AE23/AE$13</f>
        <v>92.989985693848368</v>
      </c>
      <c r="AF23" s="3">
        <f>'Finansallar - 2008-2019'!AF23/AF$13</f>
        <v>108.12401162149241</v>
      </c>
      <c r="AG23" s="3">
        <f>'Finansallar - 2008-2019'!AG23/AG$13</f>
        <v>63.585977081845613</v>
      </c>
      <c r="AH23" s="3">
        <f>'Finansallar - 2008-2019'!AH23/AH$13</f>
        <v>102.464011</v>
      </c>
      <c r="AI23" s="3">
        <f>'Finansallar - 2008-2019'!AI23/AI$13</f>
        <v>119.07605172472606</v>
      </c>
      <c r="AJ23" s="3">
        <f>'Finansallar - 2008-2019'!AJ23/AJ$13</f>
        <v>175.27583579072905</v>
      </c>
      <c r="AK23" s="3">
        <f>'Finansallar - 2008-2019'!AK23/AK$13</f>
        <v>60.387781629116098</v>
      </c>
      <c r="AL23" s="3">
        <f>'Finansallar - 2008-2019'!AL23/AL$13</f>
        <v>133.40301463307281</v>
      </c>
      <c r="AM23" s="3">
        <f>'Finansallar - 2008-2019'!AM23/AM$13</f>
        <v>190.06010685663412</v>
      </c>
      <c r="AN23" s="3">
        <f>'Finansallar - 2008-2019'!AN23/AN$13</f>
        <v>275.75799149403247</v>
      </c>
      <c r="AO23" s="3">
        <f>'Finansallar - 2008-2019'!AO23/AO$13</f>
        <v>77.571271066309762</v>
      </c>
      <c r="AP23" s="3">
        <f>'Finansallar - 2008-2019'!AP23/AP$13</f>
        <v>145.12971120900619</v>
      </c>
      <c r="AQ23" s="3">
        <f>'Finansallar - 2008-2019'!AQ23/AQ$13</f>
        <v>213.37114298131249</v>
      </c>
      <c r="AR23" s="3">
        <f>'Finansallar - 2008-2019'!AR23/AR$13</f>
        <v>310.7985341918386</v>
      </c>
      <c r="AS23" s="3">
        <f>'Finansallar - 2008-2019'!AS23/AS$13</f>
        <v>175.76982602696319</v>
      </c>
      <c r="AT23" s="3">
        <f>'Finansallar - 2008-2019'!AT23/AT$13</f>
        <v>248.65348684093453</v>
      </c>
      <c r="AU23" s="3">
        <f>'Finansallar - 2008-2019'!AU23/AU$13</f>
        <v>319.3565621782804</v>
      </c>
      <c r="AV23" s="3">
        <f>'Finansallar - 2008-2019'!AV23/AV$13</f>
        <v>338.737480603753</v>
      </c>
    </row>
    <row r="24" spans="1:48" ht="15" customHeight="1" x14ac:dyDescent="0.2">
      <c r="B24" s="22" t="s">
        <v>68</v>
      </c>
      <c r="C24" s="38">
        <f t="shared" ref="C24" si="4">+C23/C18</f>
        <v>0.17482959735788067</v>
      </c>
      <c r="D24" s="38">
        <f t="shared" ref="D24:AV24" si="5">+D23/D18</f>
        <v>9.8097971675501439E-2</v>
      </c>
      <c r="E24" s="38">
        <f t="shared" si="5"/>
        <v>0.14441330155205478</v>
      </c>
      <c r="F24" s="38">
        <f t="shared" si="5"/>
        <v>7.4799288575655334E-2</v>
      </c>
      <c r="G24" s="38">
        <f t="shared" si="5"/>
        <v>8.4352781088994411E-2</v>
      </c>
      <c r="H24" s="38">
        <f t="shared" si="5"/>
        <v>8.5956495800472016E-2</v>
      </c>
      <c r="I24" s="38">
        <f t="shared" si="5"/>
        <v>0.17939811930971586</v>
      </c>
      <c r="J24" s="38">
        <f t="shared" si="5"/>
        <v>0.1595150741745095</v>
      </c>
      <c r="K24" s="38">
        <f t="shared" si="5"/>
        <v>0.13609303148753346</v>
      </c>
      <c r="L24" s="38">
        <f t="shared" si="5"/>
        <v>0.13220120758507745</v>
      </c>
      <c r="M24" s="38">
        <f t="shared" si="5"/>
        <v>0.13626209869724737</v>
      </c>
      <c r="N24" s="38">
        <f t="shared" si="5"/>
        <v>0.13565433839082372</v>
      </c>
      <c r="O24" s="38">
        <f t="shared" si="5"/>
        <v>0.12886857050938733</v>
      </c>
      <c r="P24" s="38">
        <f t="shared" si="5"/>
        <v>0.11272900414512646</v>
      </c>
      <c r="Q24" s="38">
        <f t="shared" si="5"/>
        <v>9.6982640107420762E-2</v>
      </c>
      <c r="R24" s="38">
        <f t="shared" si="5"/>
        <v>9.8449771332644528E-2</v>
      </c>
      <c r="S24" s="38">
        <f t="shared" si="5"/>
        <v>8.9608554265161969E-2</v>
      </c>
      <c r="T24" s="38">
        <f t="shared" si="5"/>
        <v>7.1161994328819575E-2</v>
      </c>
      <c r="U24" s="38">
        <f t="shared" si="5"/>
        <v>0.11430946690221346</v>
      </c>
      <c r="V24" s="38">
        <f t="shared" si="5"/>
        <v>1.0181070335924415E-2</v>
      </c>
      <c r="W24" s="38">
        <f t="shared" si="5"/>
        <v>2.0553824544192811E-2</v>
      </c>
      <c r="X24" s="38">
        <f t="shared" si="5"/>
        <v>2.6000796664409796E-3</v>
      </c>
      <c r="Y24" s="38">
        <f t="shared" si="5"/>
        <v>0.14714153622729098</v>
      </c>
      <c r="Z24" s="38">
        <f t="shared" si="5"/>
        <v>0.11717303937060806</v>
      </c>
      <c r="AA24" s="38">
        <f t="shared" si="5"/>
        <v>0.1047900304954629</v>
      </c>
      <c r="AB24" s="38">
        <f t="shared" si="5"/>
        <v>4.2013473363346147E-2</v>
      </c>
      <c r="AC24" s="38">
        <f t="shared" si="5"/>
        <v>6.7815746449754022E-2</v>
      </c>
      <c r="AD24" s="38">
        <f t="shared" si="5"/>
        <v>7.6953918817046718E-2</v>
      </c>
      <c r="AE24" s="38">
        <f t="shared" si="5"/>
        <v>8.6769115113107226E-2</v>
      </c>
      <c r="AF24" s="38">
        <f t="shared" si="5"/>
        <v>7.5613938889534715E-2</v>
      </c>
      <c r="AG24" s="38">
        <f t="shared" si="5"/>
        <v>0.13615140035719719</v>
      </c>
      <c r="AH24" s="38">
        <f t="shared" si="5"/>
        <v>0.12262697325870722</v>
      </c>
      <c r="AI24" s="38">
        <f t="shared" si="5"/>
        <v>0.10222933173359564</v>
      </c>
      <c r="AJ24" s="38">
        <f t="shared" si="5"/>
        <v>0.11166469687889784</v>
      </c>
      <c r="AK24" s="38">
        <f t="shared" si="5"/>
        <v>0.13622688190106755</v>
      </c>
      <c r="AL24" s="38">
        <f t="shared" si="5"/>
        <v>0.14502300483479785</v>
      </c>
      <c r="AM24" s="38">
        <f t="shared" si="5"/>
        <v>0.13470319049338644</v>
      </c>
      <c r="AN24" s="38">
        <f t="shared" si="5"/>
        <v>0.13423028547776567</v>
      </c>
      <c r="AO24" s="38">
        <f t="shared" si="5"/>
        <v>0.13041008787124397</v>
      </c>
      <c r="AP24" s="38">
        <f t="shared" si="5"/>
        <v>0.11621735820894351</v>
      </c>
      <c r="AQ24" s="38">
        <f t="shared" si="5"/>
        <v>0.11747770614984487</v>
      </c>
      <c r="AR24" s="38">
        <f t="shared" si="5"/>
        <v>0.12358334298578658</v>
      </c>
      <c r="AS24" s="38">
        <f t="shared" si="5"/>
        <v>0.20548022246646194</v>
      </c>
      <c r="AT24" s="38">
        <f t="shared" si="5"/>
        <v>0.16823713986821148</v>
      </c>
      <c r="AU24" s="38">
        <f t="shared" si="5"/>
        <v>0.15926533275086827</v>
      </c>
      <c r="AV24" s="38">
        <f t="shared" si="5"/>
        <v>0.13154841004333664</v>
      </c>
    </row>
    <row r="25" spans="1:48" ht="15" customHeight="1" x14ac:dyDescent="0.2">
      <c r="B25" s="1" t="s">
        <v>71</v>
      </c>
      <c r="C25" s="40">
        <f>'Finansallar - 2008-2019'!C25/C$13</f>
        <v>19.584735600000002</v>
      </c>
      <c r="D25" s="40">
        <f>'Finansallar - 2008-2019'!D25/D$13</f>
        <v>-28.358079999999994</v>
      </c>
      <c r="E25" s="40">
        <f>'Finansallar - 2008-2019'!E25/E$13</f>
        <v>-32.256341789052051</v>
      </c>
      <c r="F25" s="40">
        <f>'Finansallar - 2008-2019'!F25/F$13</f>
        <v>-22.399010649147964</v>
      </c>
      <c r="G25" s="40">
        <f>'Finansallar - 2008-2019'!G25/G$13</f>
        <v>-18.247398262000001</v>
      </c>
      <c r="H25" s="40">
        <f>'Finansallar - 2008-2019'!H25/H$13</f>
        <v>-17.495119362000001</v>
      </c>
      <c r="I25" s="40">
        <f>'Finansallar - 2008-2019'!I25/I$13</f>
        <v>-1.9201960399999998</v>
      </c>
      <c r="J25" s="40">
        <f>'Finansallar - 2008-2019'!J25/J$13</f>
        <v>-2.4869141639999999</v>
      </c>
      <c r="K25" s="40">
        <f>'Finansallar - 2008-2019'!K25/K$13</f>
        <v>9.5754440790000004</v>
      </c>
      <c r="L25" s="40">
        <f>'Finansallar - 2008-2019'!L25/L$13</f>
        <v>9.5634165759999998</v>
      </c>
      <c r="M25" s="40">
        <f>'Finansallar - 2008-2019'!M25/M$13</f>
        <v>11.237207849999999</v>
      </c>
      <c r="N25" s="40">
        <f>'Finansallar - 2008-2019'!N25/N$13</f>
        <v>14.828328585000001</v>
      </c>
      <c r="O25" s="40">
        <f>'Finansallar - 2008-2019'!O25/O$13</f>
        <v>3.9082889160000001</v>
      </c>
      <c r="P25" s="40">
        <f>'Finansallar - 2008-2019'!P25/P$13</f>
        <v>5.5003620399999997</v>
      </c>
      <c r="Q25" s="40">
        <f>'Finansallar - 2008-2019'!Q25/Q$13</f>
        <v>3.2498997300000001</v>
      </c>
      <c r="R25" s="40">
        <f>'Finansallar - 2008-2019'!R25/R$13</f>
        <v>8.264845287</v>
      </c>
      <c r="S25" s="40">
        <f>'Finansallar - 2008-2019'!S25/S$13</f>
        <v>10.625339464</v>
      </c>
      <c r="T25" s="40">
        <f>'Finansallar - 2008-2019'!T25/T$13</f>
        <v>11.639316780000001</v>
      </c>
      <c r="U25" s="40">
        <f>'Finansallar - 2008-2019'!U25/U$13</f>
        <v>5.8321622489999987</v>
      </c>
      <c r="V25" s="40">
        <f>'Finansallar - 2008-2019'!V25/V$13</f>
        <v>15.742716568080045</v>
      </c>
      <c r="W25" s="40">
        <f>'Finansallar - 2008-2019'!W25/W$13</f>
        <v>22.718629889999999</v>
      </c>
      <c r="X25" s="40">
        <f>'Finansallar - 2008-2019'!X25/X$13</f>
        <v>38.137427561000003</v>
      </c>
      <c r="Y25" s="40">
        <f>'Finansallar - 2008-2019'!Y25/Y$13</f>
        <v>11.006953851711362</v>
      </c>
      <c r="Z25" s="40">
        <f>'Finansallar - 2008-2019'!Z25/Z$13</f>
        <v>10.516436266124193</v>
      </c>
      <c r="AA25" s="40">
        <f>'Finansallar - 2008-2019'!AA25/AA$13</f>
        <v>20.876584327874898</v>
      </c>
      <c r="AB25" s="40">
        <f>'Finansallar - 2008-2019'!AB25/AB$13</f>
        <v>27.116853418705691</v>
      </c>
      <c r="AC25" s="40">
        <f>'Finansallar - 2008-2019'!AC25/AC$13</f>
        <v>19.663017378210078</v>
      </c>
      <c r="AD25" s="40">
        <f>'Finansallar - 2008-2019'!AD25/AD$13</f>
        <v>29.306767919000002</v>
      </c>
      <c r="AE25" s="40">
        <f>'Finansallar - 2008-2019'!AE25/AE$13</f>
        <v>49.615992771628648</v>
      </c>
      <c r="AF25" s="40">
        <f>'Finansallar - 2008-2019'!AF25/AF$13</f>
        <v>46.502151447170029</v>
      </c>
      <c r="AG25" s="40">
        <f>'Finansallar - 2008-2019'!AG25/AG$13</f>
        <v>-2.4091264578870386</v>
      </c>
      <c r="AH25" s="40">
        <f>'Finansallar - 2008-2019'!AH25/AH$13</f>
        <v>3.8555939389999998</v>
      </c>
      <c r="AI25" s="40">
        <f>'Finansallar - 2008-2019'!AI25/AI$13</f>
        <v>9.311474291173349</v>
      </c>
      <c r="AJ25" s="40">
        <f>'Finansallar - 2008-2019'!AJ25/AJ$13</f>
        <v>37.24528676982203</v>
      </c>
      <c r="AK25" s="40">
        <f>'Finansallar - 2008-2019'!AK25/AK$13</f>
        <v>9.5201473136915045</v>
      </c>
      <c r="AL25" s="40">
        <f>'Finansallar - 2008-2019'!AL25/AL$13</f>
        <v>5.7718120805369075</v>
      </c>
      <c r="AM25" s="40">
        <f>'Finansallar - 2008-2019'!AM25/AM$13</f>
        <v>12.064225289403391</v>
      </c>
      <c r="AN25" s="40">
        <f>'Finansallar - 2008-2019'!AN25/AN$13</f>
        <v>29.272053779668017</v>
      </c>
      <c r="AO25" s="40">
        <f>'Finansallar - 2008-2019'!AO25/AO$13</f>
        <v>18.270593794298339</v>
      </c>
      <c r="AP25" s="40">
        <f>'Finansallar - 2008-2019'!AP25/AP$13</f>
        <v>58.689916789035671</v>
      </c>
      <c r="AQ25" s="40">
        <f>'Finansallar - 2008-2019'!AQ25/AQ$13</f>
        <v>142.48457192524995</v>
      </c>
      <c r="AR25" s="40">
        <f>'Finansallar - 2008-2019'!AR25/AR$13</f>
        <v>105.17877476656794</v>
      </c>
      <c r="AS25" s="40">
        <f>'Finansallar - 2008-2019'!AS25/AS$13</f>
        <v>20.446773201066609</v>
      </c>
      <c r="AT25" s="40">
        <f>'Finansallar - 2008-2019'!AT25/AT$13</f>
        <v>29.909247824616973</v>
      </c>
      <c r="AU25" s="40">
        <f>'Finansallar - 2008-2019'!AU25/AU$13</f>
        <v>29.760552380276128</v>
      </c>
      <c r="AV25" s="40">
        <f>'Finansallar - 2008-2019'!AV25/AV$13</f>
        <v>40.716955847087128</v>
      </c>
    </row>
    <row r="26" spans="1:48" ht="15" customHeight="1" x14ac:dyDescent="0.2">
      <c r="B26" s="66" t="s">
        <v>185</v>
      </c>
      <c r="C26" s="67">
        <f>'Finansallar - 2008-2019'!C26/C$13</f>
        <v>236.2176</v>
      </c>
      <c r="D26" s="67">
        <f>'Finansallar - 2008-2019'!D26/D$13</f>
        <v>102.48979999999999</v>
      </c>
      <c r="E26" s="67">
        <f>'Finansallar - 2008-2019'!E26/E$13</f>
        <v>14.56487437795848</v>
      </c>
      <c r="F26" s="67">
        <f>'Finansallar - 2008-2019'!F26/F$13</f>
        <v>12.456351156238442</v>
      </c>
      <c r="G26" s="67">
        <f>'Finansallar - 2008-2019'!G26/G$13</f>
        <v>42.742918000000003</v>
      </c>
      <c r="H26" s="67">
        <f>'Finansallar - 2008-2019'!H26/H$13</f>
        <v>63.402177999999999</v>
      </c>
      <c r="I26" s="67">
        <f>'Finansallar - 2008-2019'!I26/I$13</f>
        <v>55.928039999999996</v>
      </c>
      <c r="J26" s="67">
        <f>'Finansallar - 2008-2019'!J26/J$13</f>
        <v>91.008792</v>
      </c>
      <c r="K26" s="67">
        <f>'Finansallar - 2008-2019'!K26/K$13</f>
        <v>124.15914800000002</v>
      </c>
      <c r="L26" s="67">
        <f>'Finansallar - 2008-2019'!L26/L$13</f>
        <v>160.10184000000001</v>
      </c>
      <c r="M26" s="67">
        <f>'Finansallar - 2008-2019'!M26/M$13</f>
        <v>61.756893000000005</v>
      </c>
      <c r="N26" s="67">
        <f>'Finansallar - 2008-2019'!N26/N$13</f>
        <v>117.63948000000001</v>
      </c>
      <c r="O26" s="67">
        <f>'Finansallar - 2008-2019'!O26/O$13</f>
        <v>150.176187</v>
      </c>
      <c r="P26" s="67">
        <f>'Finansallar - 2008-2019'!P26/P$13</f>
        <v>186.138476</v>
      </c>
      <c r="Q26" s="67">
        <f>'Finansallar - 2008-2019'!Q26/Q$13</f>
        <v>62.573279999999997</v>
      </c>
      <c r="R26" s="67">
        <f>'Finansallar - 2008-2019'!R26/R$13</f>
        <v>105.93810999999999</v>
      </c>
      <c r="S26" s="67">
        <f>'Finansallar - 2008-2019'!S26/S$13</f>
        <v>133.76424</v>
      </c>
      <c r="T26" s="67">
        <f>'Finansallar - 2008-2019'!T26/T$13</f>
        <v>202.54419900000002</v>
      </c>
      <c r="U26" s="67">
        <f>'Finansallar - 2008-2019'!U26/U$13</f>
        <v>96.612915999999984</v>
      </c>
      <c r="V26" s="67">
        <f>'Finansallar - 2008-2019'!V26/V$13</f>
        <v>21.560064127370222</v>
      </c>
      <c r="W26" s="67">
        <f>'Finansallar - 2008-2019'!W26/W$13</f>
        <v>27.916460000000001</v>
      </c>
      <c r="X26" s="67">
        <f>'Finansallar - 2008-2019'!X26/X$13</f>
        <v>-2.6270150000000001</v>
      </c>
      <c r="Y26" s="67">
        <f>'Finansallar - 2008-2019'!Y26/Y$13</f>
        <v>77.666395737379148</v>
      </c>
      <c r="Z26" s="67">
        <f>'Finansallar - 2008-2019'!Z26/Z$13</f>
        <v>109.11276526885209</v>
      </c>
      <c r="AA26" s="67">
        <f>'Finansallar - 2008-2019'!AA26/AA$13</f>
        <v>145.71190674437955</v>
      </c>
      <c r="AB26" s="67">
        <f>'Finansallar - 2008-2019'!AB26/AB$13</f>
        <v>43.905785501943747</v>
      </c>
      <c r="AC26" s="67">
        <f>'Finansallar - 2008-2019'!AC26/AC$13</f>
        <v>35.814578161246985</v>
      </c>
      <c r="AD26" s="67">
        <f>'Finansallar - 2008-2019'!AD26/AD$13</f>
        <v>56.627285000000001</v>
      </c>
      <c r="AE26" s="67">
        <f>'Finansallar - 2008-2019'!AE26/AE$13</f>
        <v>80.942700097884199</v>
      </c>
      <c r="AF26" s="67">
        <f>'Finansallar - 2008-2019'!AF26/AF$13</f>
        <v>95.61987422308853</v>
      </c>
      <c r="AG26" s="67">
        <f>'Finansallar - 2008-2019'!AG26/AG$13</f>
        <v>57.125369784759698</v>
      </c>
      <c r="AH26" s="67">
        <f>'Finansallar - 2008-2019'!AH26/AH$13</f>
        <v>93.554096999999999</v>
      </c>
      <c r="AI26" s="67">
        <f>'Finansallar - 2008-2019'!AI26/AI$13</f>
        <v>99.286908458152666</v>
      </c>
      <c r="AJ26" s="67">
        <f>'Finansallar - 2008-2019'!AJ26/AJ$13</f>
        <v>145.45575030648405</v>
      </c>
      <c r="AK26" s="67">
        <f>'Finansallar - 2008-2019'!AK26/AK$13</f>
        <v>56.055025996533772</v>
      </c>
      <c r="AL26" s="67">
        <f>'Finansallar - 2008-2019'!AL26/AL$13</f>
        <v>129.55220596325216</v>
      </c>
      <c r="AM26" s="67">
        <f>'Finansallar - 2008-2019'!AM26/AM$13</f>
        <v>174.47684772929662</v>
      </c>
      <c r="AN26" s="67">
        <f>'Finansallar - 2008-2019'!AN26/AN$13</f>
        <v>247.49622719165899</v>
      </c>
      <c r="AO26" s="67">
        <f>'Finansallar - 2008-2019'!AO26/AO$13</f>
        <v>75.899879246075599</v>
      </c>
      <c r="AP26" s="67">
        <f>'Finansallar - 2008-2019'!AP26/AP$13</f>
        <v>154.18502202643154</v>
      </c>
      <c r="AQ26" s="67">
        <f>'Finansallar - 2008-2019'!AQ26/AQ$13</f>
        <v>251.10864841373356</v>
      </c>
      <c r="AR26" s="67">
        <f>'Finansallar - 2008-2019'!AR26/AR$13</f>
        <v>339.74451874702373</v>
      </c>
      <c r="AS26" s="67">
        <f>'Finansallar - 2008-2019'!AS26/AS$13</f>
        <v>181.0690111693302</v>
      </c>
      <c r="AT26" s="67">
        <f>'Finansallar - 2008-2019'!AT26/AT$13</f>
        <v>259.91156111536202</v>
      </c>
      <c r="AU26" s="67">
        <f>'Finansallar - 2008-2019'!AU26/AU$13</f>
        <v>318.41563420781642</v>
      </c>
      <c r="AV26" s="67">
        <f>'Finansallar - 2008-2019'!AV26/AV$13</f>
        <v>313.33879954859708</v>
      </c>
    </row>
    <row r="27" spans="1:48" ht="15" customHeight="1" x14ac:dyDescent="0.2">
      <c r="B27" s="1" t="s">
        <v>72</v>
      </c>
      <c r="C27" s="40">
        <f>'Finansallar - 2008-2019'!C27/C$13</f>
        <v>-57.090021000000007</v>
      </c>
      <c r="D27" s="40">
        <f>'Finansallar - 2008-2019'!D27/D$13</f>
        <v>-32.651863199999994</v>
      </c>
      <c r="E27" s="40">
        <f>'Finansallar - 2008-2019'!E27/E$13</f>
        <v>-11.096613666707118</v>
      </c>
      <c r="F27" s="40">
        <f>'Finansallar - 2008-2019'!F27/F$13</f>
        <v>-4.4070570390771602</v>
      </c>
      <c r="G27" s="40">
        <f>'Finansallar - 2008-2019'!G27/G$13</f>
        <v>-6.9817685760000012</v>
      </c>
      <c r="H27" s="40">
        <f>'Finansallar - 2008-2019'!H27/H$13</f>
        <v>-18.928137977000002</v>
      </c>
      <c r="I27" s="40">
        <f>'Finansallar - 2008-2019'!I27/I$13</f>
        <v>-11.658998909999999</v>
      </c>
      <c r="J27" s="40">
        <f>'Finansallar - 2008-2019'!J27/J$13</f>
        <v>-20.678780304</v>
      </c>
      <c r="K27" s="40">
        <f>'Finansallar - 2008-2019'!K27/K$13</f>
        <v>-26.923382907000004</v>
      </c>
      <c r="L27" s="40">
        <f>'Finansallar - 2008-2019'!L27/L$13</f>
        <v>-41.382323094</v>
      </c>
      <c r="M27" s="40">
        <f>'Finansallar - 2008-2019'!M27/M$13</f>
        <v>-13.077817929000002</v>
      </c>
      <c r="N27" s="40">
        <f>'Finansallar - 2008-2019'!N27/N$13</f>
        <v>-25.791177300000001</v>
      </c>
      <c r="O27" s="40">
        <f>'Finansallar - 2008-2019'!O27/O$13</f>
        <v>-28.557577881000004</v>
      </c>
      <c r="P27" s="40">
        <f>'Finansallar - 2008-2019'!P27/P$13</f>
        <v>-41.202439955999999</v>
      </c>
      <c r="Q27" s="40">
        <f>'Finansallar - 2008-2019'!Q27/Q$13</f>
        <v>-10.68829839</v>
      </c>
      <c r="R27" s="40">
        <f>'Finansallar - 2008-2019'!R27/R$13</f>
        <v>-22.018957379</v>
      </c>
      <c r="S27" s="40">
        <f>'Finansallar - 2008-2019'!S27/S$13</f>
        <v>-23.580963458999999</v>
      </c>
      <c r="T27" s="40">
        <f>'Finansallar - 2008-2019'!T27/T$13</f>
        <v>-34.782362901000006</v>
      </c>
      <c r="U27" s="40">
        <f>'Finansallar - 2008-2019'!U27/U$13</f>
        <v>-14.122336825999998</v>
      </c>
      <c r="V27" s="40">
        <f>'Finansallar - 2008-2019'!V27/V$13</f>
        <v>-18.396262922217918</v>
      </c>
      <c r="W27" s="40">
        <f>'Finansallar - 2008-2019'!W27/W$13</f>
        <v>-24.677613784999998</v>
      </c>
      <c r="X27" s="40">
        <f>'Finansallar - 2008-2019'!X27/X$13</f>
        <v>-30.753413799</v>
      </c>
      <c r="Y27" s="40">
        <f>'Finansallar - 2008-2019'!Y27/Y$13</f>
        <v>-13.140070441614728</v>
      </c>
      <c r="Z27" s="40">
        <f>'Finansallar - 2008-2019'!Z27/Z$13</f>
        <v>-24.152295529150695</v>
      </c>
      <c r="AA27" s="40">
        <f>'Finansallar - 2008-2019'!AA27/AA$13</f>
        <v>-28.42446109723376</v>
      </c>
      <c r="AB27" s="40">
        <f>'Finansallar - 2008-2019'!AB27/AB$13</f>
        <v>-17.305282414818201</v>
      </c>
      <c r="AC27" s="40">
        <f>'Finansallar - 2008-2019'!AC27/AC$13</f>
        <v>-1.2185096251678804</v>
      </c>
      <c r="AD27" s="40">
        <f>'Finansallar - 2008-2019'!AD27/AD$13</f>
        <v>-11.664439644</v>
      </c>
      <c r="AE27" s="40">
        <f>'Finansallar - 2008-2019'!AE27/AE$13</f>
        <v>-21.363602138393198</v>
      </c>
      <c r="AF27" s="40">
        <f>'Finansallar - 2008-2019'!AF27/AF$13</f>
        <v>-24.465448126218238</v>
      </c>
      <c r="AG27" s="40">
        <f>'Finansallar - 2008-2019'!AG27/AG$13</f>
        <v>-6.2297255942058483</v>
      </c>
      <c r="AH27" s="40">
        <f>'Finansallar - 2008-2019'!AH27/AH$13</f>
        <v>-16.73693076</v>
      </c>
      <c r="AI27" s="40">
        <f>'Finansallar - 2008-2019'!AI27/AI$13</f>
        <v>-26.252345695861308</v>
      </c>
      <c r="AJ27" s="40">
        <f>'Finansallar - 2008-2019'!AJ27/AJ$13</f>
        <v>-35.987873165236365</v>
      </c>
      <c r="AK27" s="40">
        <f>'Finansallar - 2008-2019'!AK27/AK$13</f>
        <v>-12.49295927209705</v>
      </c>
      <c r="AL27" s="40">
        <f>'Finansallar - 2008-2019'!AL27/AL$13</f>
        <v>-23.579051600836152</v>
      </c>
      <c r="AM27" s="40">
        <f>'Finansallar - 2008-2019'!AM27/AM$13</f>
        <v>-30.80142475512023</v>
      </c>
      <c r="AN27" s="40">
        <f>'Finansallar - 2008-2019'!AN27/AN$13</f>
        <v>-36.088901083824993</v>
      </c>
      <c r="AO27" s="40">
        <f>'Finansallar - 2008-2019'!AO27/AO$13</f>
        <v>-12.626660366461927</v>
      </c>
      <c r="AP27" s="40">
        <f>'Finansallar - 2008-2019'!AP27/AP$13</f>
        <v>-26.860009789525176</v>
      </c>
      <c r="AQ27" s="40">
        <f>'Finansallar - 2008-2019'!AQ27/AQ$13</f>
        <v>-40.674923946110397</v>
      </c>
      <c r="AR27" s="40">
        <f>'Finansallar - 2008-2019'!AR27/AR$13</f>
        <v>-49.657356990538482</v>
      </c>
      <c r="AS27" s="40">
        <f>'Finansallar - 2008-2019'!AS27/AS$13</f>
        <v>-35.456562680639244</v>
      </c>
      <c r="AT27" s="40">
        <f>'Finansallar - 2008-2019'!AT27/AT$13</f>
        <v>-50.04964677829777</v>
      </c>
      <c r="AU27" s="40">
        <f>'Finansallar - 2008-2019'!AU27/AU$13</f>
        <v>-63.463559231779477</v>
      </c>
      <c r="AV27" s="40">
        <f>'Finansallar - 2008-2019'!AV27/AV$13</f>
        <v>-63.857384680491037</v>
      </c>
    </row>
    <row r="28" spans="1:48" ht="15" customHeight="1" x14ac:dyDescent="0.2">
      <c r="B28" s="46" t="s">
        <v>73</v>
      </c>
      <c r="C28" s="47">
        <f>'Finansallar - 2008-2019'!C28/C$13</f>
        <v>179.070165</v>
      </c>
      <c r="D28" s="47">
        <f>'Finansallar - 2008-2019'!D28/D$13</f>
        <v>70.149259199999989</v>
      </c>
      <c r="E28" s="47">
        <f>'Finansallar - 2008-2019'!E28/E$13</f>
        <v>3.516810292511225</v>
      </c>
      <c r="F28" s="47">
        <f>'Finansallar - 2008-2019'!F28/F$13</f>
        <v>7.843764323083346</v>
      </c>
      <c r="G28" s="47">
        <f>'Finansallar - 2008-2019'!G28/G$13</f>
        <v>36.179009294000004</v>
      </c>
      <c r="H28" s="47">
        <f>'Finansallar - 2008-2019'!H28/H$13</f>
        <v>44.862863583999996</v>
      </c>
      <c r="I28" s="47">
        <f>'Finansallar - 2008-2019'!I28/I$13</f>
        <v>44.482766099999999</v>
      </c>
      <c r="J28" s="47">
        <f>'Finansallar - 2008-2019'!J28/J$13</f>
        <v>70.293080591999995</v>
      </c>
      <c r="K28" s="47">
        <f>'Finansallar - 2008-2019'!K28/K$13</f>
        <v>97.237746356000002</v>
      </c>
      <c r="L28" s="47">
        <f>'Finansallar - 2008-2019'!L28/L$13</f>
        <v>119.12911078</v>
      </c>
      <c r="M28" s="47">
        <f>'Finansallar - 2008-2019'!M28/M$13</f>
        <v>48.604584798000005</v>
      </c>
      <c r="N28" s="47">
        <f>'Finansallar - 2008-2019'!N28/N$13</f>
        <v>91.643712300000004</v>
      </c>
      <c r="O28" s="47">
        <f>'Finansallar - 2008-2019'!O28/O$13</f>
        <v>121.87570086300001</v>
      </c>
      <c r="P28" s="47">
        <f>'Finansallar - 2008-2019'!P28/P$13</f>
        <v>145.10421904</v>
      </c>
      <c r="Q28" s="47">
        <f>'Finansallar - 2008-2019'!Q28/Q$13</f>
        <v>51.60731268</v>
      </c>
      <c r="R28" s="47">
        <f>'Finansallar - 2008-2019'!R28/R$13</f>
        <v>83.198773473000003</v>
      </c>
      <c r="S28" s="47">
        <f>'Finansallar - 2008-2019'!S28/S$13</f>
        <v>110.266879191</v>
      </c>
      <c r="T28" s="47">
        <f>'Finansallar - 2008-2019'!T28/T$13</f>
        <v>167.00410876500001</v>
      </c>
      <c r="U28" s="47">
        <f>'Finansallar - 2008-2019'!U28/U$13</f>
        <v>82.65459645</v>
      </c>
      <c r="V28" s="47">
        <f>'Finansallar - 2008-2019'!V28/V$13</f>
        <v>3.2577809718613513</v>
      </c>
      <c r="W28" s="47">
        <f>'Finansallar - 2008-2019'!W28/W$13</f>
        <v>3.1448965899999997</v>
      </c>
      <c r="X28" s="47">
        <f>'Finansallar - 2008-2019'!X28/X$13</f>
        <v>-33.762922182999993</v>
      </c>
      <c r="Y28" s="47">
        <f>'Finansallar - 2008-2019'!Y28/Y$13</f>
        <v>64.292423010927436</v>
      </c>
      <c r="Z28" s="47">
        <f>'Finansallar - 2008-2019'!Z28/Z$13</f>
        <v>85.047852420361608</v>
      </c>
      <c r="AA28" s="47">
        <f>'Finansallar - 2008-2019'!AA28/AA$13</f>
        <v>117.21435840503273</v>
      </c>
      <c r="AB28" s="47">
        <f>'Finansallar - 2008-2019'!AB28/AB$13</f>
        <v>25.570089183626799</v>
      </c>
      <c r="AC28" s="47">
        <f>'Finansallar - 2008-2019'!AC28/AC$13</f>
        <v>34.189491677180406</v>
      </c>
      <c r="AD28" s="47">
        <f>'Finansallar - 2008-2019'!AD28/AD$13</f>
        <v>44.170453898999995</v>
      </c>
      <c r="AE28" s="47">
        <f>'Finansallar - 2008-2019'!AE28/AE$13</f>
        <v>57.903395828627367</v>
      </c>
      <c r="AF28" s="47">
        <f>'Finansallar - 2008-2019'!AF28/AF$13</f>
        <v>68.208598433305156</v>
      </c>
      <c r="AG28" s="47">
        <f>'Finansallar - 2008-2019'!AG28/AG$13</f>
        <v>50.623278588187219</v>
      </c>
      <c r="AH28" s="47">
        <f>'Finansallar - 2008-2019'!AH28/AH$13</f>
        <v>75.900130476000001</v>
      </c>
      <c r="AI28" s="47">
        <f>'Finansallar - 2008-2019'!AI28/AI$13</f>
        <v>71.640792930499089</v>
      </c>
      <c r="AJ28" s="47">
        <f>'Finansallar - 2008-2019'!AJ28/AJ$13</f>
        <v>107.48848613366012</v>
      </c>
      <c r="AK28" s="47">
        <f>'Finansallar - 2008-2019'!AK28/AK$13</f>
        <v>43.792785961871729</v>
      </c>
      <c r="AL28" s="47">
        <f>'Finansallar - 2008-2019'!AL28/AL$13</f>
        <v>106.0573220376278</v>
      </c>
      <c r="AM28" s="47">
        <f>'Finansallar - 2008-2019'!AM28/AM$13</f>
        <v>143.69879786286739</v>
      </c>
      <c r="AN28" s="47">
        <f>'Finansallar - 2008-2019'!AN28/AN$13</f>
        <v>211.47702016737574</v>
      </c>
      <c r="AO28" s="47">
        <f>'Finansallar - 2008-2019'!AO28/AO$13</f>
        <v>63.290806951226003</v>
      </c>
      <c r="AP28" s="47">
        <f>'Finansallar - 2008-2019'!AP28/AP$13</f>
        <v>127.35976505139487</v>
      </c>
      <c r="AQ28" s="47">
        <f>'Finansallar - 2008-2019'!AQ28/AQ$13</f>
        <v>210.33116036505905</v>
      </c>
      <c r="AR28" s="47">
        <f>'Finansallar - 2008-2019'!AR28/AR$13</f>
        <v>290.16521397072518</v>
      </c>
      <c r="AS28" s="47">
        <f>'Finansallar - 2008-2019'!AS28/AS$13</f>
        <v>145.61244848869097</v>
      </c>
      <c r="AT28" s="47">
        <f>'Finansallar - 2008-2019'!AT28/AT$13</f>
        <v>209.86191433706423</v>
      </c>
      <c r="AU28" s="47">
        <f>'Finansallar - 2008-2019'!AU28/AU$13</f>
        <v>254.95207497603693</v>
      </c>
      <c r="AV28" s="47">
        <f>'Finansallar - 2008-2019'!AV28/AV$13</f>
        <v>249.48141486810601</v>
      </c>
    </row>
    <row r="29" spans="1:48" ht="15" customHeight="1" x14ac:dyDescent="0.2">
      <c r="A29" s="55" t="s">
        <v>164</v>
      </c>
      <c r="B29" s="48" t="s">
        <v>68</v>
      </c>
      <c r="C29" s="49">
        <f t="shared" ref="C29:AV29" si="6">+C28/C18</f>
        <v>0.12273206380437074</v>
      </c>
      <c r="D29" s="49">
        <f t="shared" si="6"/>
        <v>3.6154067034673061E-2</v>
      </c>
      <c r="E29" s="49">
        <f t="shared" si="6"/>
        <v>8.9986568010124463E-3</v>
      </c>
      <c r="F29" s="49">
        <f t="shared" si="6"/>
        <v>1.0466913781353367E-2</v>
      </c>
      <c r="G29" s="49">
        <f t="shared" si="6"/>
        <v>3.1471911633802384E-2</v>
      </c>
      <c r="H29" s="49">
        <f t="shared" si="6"/>
        <v>2.9507758637564011E-2</v>
      </c>
      <c r="I29" s="49">
        <f t="shared" si="6"/>
        <v>0.11097766991742702</v>
      </c>
      <c r="J29" s="49">
        <f t="shared" si="6"/>
        <v>9.6604504125639867E-2</v>
      </c>
      <c r="K29" s="49">
        <f t="shared" si="6"/>
        <v>8.9855576610307061E-2</v>
      </c>
      <c r="L29" s="49">
        <f t="shared" si="6"/>
        <v>7.8958166055328197E-2</v>
      </c>
      <c r="M29" s="49">
        <f t="shared" si="6"/>
        <v>0.11066511849728998</v>
      </c>
      <c r="N29" s="49">
        <f t="shared" si="6"/>
        <v>0.10288197283037394</v>
      </c>
      <c r="O29" s="49">
        <f t="shared" si="6"/>
        <v>9.0119802072499089E-2</v>
      </c>
      <c r="P29" s="49">
        <f t="shared" si="6"/>
        <v>7.5497292168354851E-2</v>
      </c>
      <c r="Q29" s="49">
        <f t="shared" si="6"/>
        <v>9.2355468371161556E-2</v>
      </c>
      <c r="R29" s="49">
        <f t="shared" si="6"/>
        <v>7.5723605819294937E-2</v>
      </c>
      <c r="S29" s="49">
        <f t="shared" si="6"/>
        <v>6.7665061009060723E-2</v>
      </c>
      <c r="T29" s="49">
        <f t="shared" si="6"/>
        <v>7.5797653781449606E-2</v>
      </c>
      <c r="U29" s="49">
        <f t="shared" si="6"/>
        <v>0.13901353764182406</v>
      </c>
      <c r="V29" s="49">
        <f t="shared" si="6"/>
        <v>2.9998523744801291E-3</v>
      </c>
      <c r="W29" s="49">
        <f t="shared" si="6"/>
        <v>2.040750918303076E-3</v>
      </c>
      <c r="X29" s="49">
        <f t="shared" si="6"/>
        <v>-1.6708371944516378E-2</v>
      </c>
      <c r="Y29" s="49">
        <f t="shared" si="6"/>
        <v>0.12396630894150383</v>
      </c>
      <c r="Z29" s="49">
        <f t="shared" si="6"/>
        <v>8.5872432638340046E-2</v>
      </c>
      <c r="AA29" s="49">
        <f t="shared" si="6"/>
        <v>7.9263179066768136E-2</v>
      </c>
      <c r="AB29" s="49">
        <f t="shared" si="6"/>
        <v>1.2494315331230424E-2</v>
      </c>
      <c r="AC29" s="49">
        <f t="shared" si="6"/>
        <v>7.6986451513574153E-2</v>
      </c>
      <c r="AD29" s="49">
        <f t="shared" si="6"/>
        <v>5.543770114627028E-2</v>
      </c>
      <c r="AE29" s="49">
        <f t="shared" si="6"/>
        <v>5.4029757942272182E-2</v>
      </c>
      <c r="AF29" s="49">
        <f t="shared" si="6"/>
        <v>4.770005030641649E-2</v>
      </c>
      <c r="AG29" s="49">
        <f t="shared" si="6"/>
        <v>0.10839544482555509</v>
      </c>
      <c r="AH29" s="49">
        <f t="shared" si="6"/>
        <v>9.0835827910473288E-2</v>
      </c>
      <c r="AI29" s="49">
        <f t="shared" si="6"/>
        <v>6.1505149692740818E-2</v>
      </c>
      <c r="AJ29" s="49">
        <f t="shared" si="6"/>
        <v>6.847874476215525E-2</v>
      </c>
      <c r="AK29" s="49">
        <f t="shared" si="6"/>
        <v>9.8790757342048591E-2</v>
      </c>
      <c r="AL29" s="49">
        <f t="shared" si="6"/>
        <v>0.115295381959198</v>
      </c>
      <c r="AM29" s="49">
        <f t="shared" si="6"/>
        <v>0.10184507870867171</v>
      </c>
      <c r="AN29" s="49">
        <f t="shared" si="6"/>
        <v>0.10294033777682324</v>
      </c>
      <c r="AO29" s="49">
        <f t="shared" si="6"/>
        <v>0.10640227474029416</v>
      </c>
      <c r="AP29" s="49">
        <f t="shared" si="6"/>
        <v>0.10198749320922182</v>
      </c>
      <c r="AQ29" s="49">
        <f t="shared" si="6"/>
        <v>0.1158039550535022</v>
      </c>
      <c r="AR29" s="49">
        <f t="shared" si="6"/>
        <v>0.11537888122263201</v>
      </c>
      <c r="AS29" s="49">
        <f t="shared" si="6"/>
        <v>0.17022533950026572</v>
      </c>
      <c r="AT29" s="49">
        <f t="shared" si="6"/>
        <v>0.14199104417916794</v>
      </c>
      <c r="AU29" s="49">
        <f t="shared" si="6"/>
        <v>0.12714636824627118</v>
      </c>
      <c r="AV29" s="49">
        <f t="shared" si="6"/>
        <v>9.6885893473513007E-2</v>
      </c>
    </row>
    <row r="32" spans="1:48" ht="20.100000000000001" customHeight="1" x14ac:dyDescent="0.2">
      <c r="B32" s="32" t="s">
        <v>150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</row>
    <row r="33" spans="1:48" x14ac:dyDescent="0.2">
      <c r="B33" s="31" t="s">
        <v>244</v>
      </c>
      <c r="C33" s="35" t="s">
        <v>1</v>
      </c>
      <c r="D33" s="35" t="s">
        <v>2</v>
      </c>
      <c r="E33" s="35" t="s">
        <v>7</v>
      </c>
      <c r="F33" s="35" t="s">
        <v>8</v>
      </c>
      <c r="G33" s="35" t="s">
        <v>9</v>
      </c>
      <c r="H33" s="35" t="s">
        <v>10</v>
      </c>
      <c r="I33" s="35" t="s">
        <v>11</v>
      </c>
      <c r="J33" s="35" t="s">
        <v>12</v>
      </c>
      <c r="K33" s="35" t="s">
        <v>13</v>
      </c>
      <c r="L33" s="35" t="s">
        <v>14</v>
      </c>
      <c r="M33" s="35" t="s">
        <v>15</v>
      </c>
      <c r="N33" s="35" t="s">
        <v>16</v>
      </c>
      <c r="O33" s="35" t="s">
        <v>17</v>
      </c>
      <c r="P33" s="35" t="s">
        <v>18</v>
      </c>
      <c r="Q33" s="35" t="s">
        <v>19</v>
      </c>
      <c r="R33" s="35" t="s">
        <v>20</v>
      </c>
      <c r="S33" s="35" t="s">
        <v>21</v>
      </c>
      <c r="T33" s="35" t="s">
        <v>22</v>
      </c>
      <c r="U33" s="35" t="s">
        <v>23</v>
      </c>
      <c r="V33" s="35" t="s">
        <v>24</v>
      </c>
      <c r="W33" s="35" t="s">
        <v>25</v>
      </c>
      <c r="X33" s="35" t="s">
        <v>26</v>
      </c>
      <c r="Y33" s="35" t="s">
        <v>27</v>
      </c>
      <c r="Z33" s="35" t="s">
        <v>28</v>
      </c>
      <c r="AA33" s="35" t="s">
        <v>29</v>
      </c>
      <c r="AB33" s="35" t="s">
        <v>30</v>
      </c>
      <c r="AC33" s="35" t="s">
        <v>31</v>
      </c>
      <c r="AD33" s="35" t="s">
        <v>32</v>
      </c>
      <c r="AE33" s="35" t="s">
        <v>33</v>
      </c>
      <c r="AF33" s="35" t="s">
        <v>34</v>
      </c>
      <c r="AG33" s="35" t="s">
        <v>35</v>
      </c>
      <c r="AH33" s="35" t="s">
        <v>36</v>
      </c>
      <c r="AI33" s="35" t="s">
        <v>37</v>
      </c>
      <c r="AJ33" s="35" t="s">
        <v>38</v>
      </c>
      <c r="AK33" s="35" t="s">
        <v>39</v>
      </c>
      <c r="AL33" s="35" t="s">
        <v>40</v>
      </c>
      <c r="AM33" s="35" t="s">
        <v>41</v>
      </c>
      <c r="AN33" s="35" t="s">
        <v>170</v>
      </c>
      <c r="AO33" s="35" t="s">
        <v>172</v>
      </c>
      <c r="AP33" s="35" t="s">
        <v>173</v>
      </c>
      <c r="AQ33" s="35" t="s">
        <v>175</v>
      </c>
      <c r="AR33" s="35" t="s">
        <v>182</v>
      </c>
      <c r="AS33" s="35" t="s">
        <v>186</v>
      </c>
      <c r="AT33" s="35" t="s">
        <v>188</v>
      </c>
      <c r="AU33" s="35" t="s">
        <v>191</v>
      </c>
      <c r="AV33" s="35" t="s">
        <v>193</v>
      </c>
    </row>
    <row r="34" spans="1:48" ht="15" customHeight="1" x14ac:dyDescent="0.2">
      <c r="B34" s="9" t="s">
        <v>66</v>
      </c>
      <c r="C34" s="10">
        <v>549.65800000000002</v>
      </c>
      <c r="D34" s="37">
        <f>+D18-C18</f>
        <v>481.25352959999987</v>
      </c>
      <c r="E34" s="132">
        <f>+E18</f>
        <v>390.81502609539967</v>
      </c>
      <c r="F34" s="37">
        <f t="shared" ref="F34:H35" si="7">+F18-E18</f>
        <v>358.57151581506122</v>
      </c>
      <c r="G34" s="37">
        <f t="shared" si="7"/>
        <v>400.17849611353904</v>
      </c>
      <c r="H34" s="37">
        <f t="shared" si="7"/>
        <v>370.8101329619999</v>
      </c>
      <c r="I34" s="132">
        <f>+I18</f>
        <v>400.82627553000003</v>
      </c>
      <c r="J34" s="37">
        <f t="shared" ref="J34:L35" si="8">+J18-I18</f>
        <v>326.81143896599991</v>
      </c>
      <c r="K34" s="37">
        <f t="shared" si="8"/>
        <v>354.51822978900009</v>
      </c>
      <c r="L34" s="37">
        <f t="shared" si="8"/>
        <v>426.60643877899997</v>
      </c>
      <c r="M34" s="132">
        <f>+M18</f>
        <v>439.20419964300004</v>
      </c>
      <c r="N34" s="37">
        <f t="shared" ref="N34:P35" si="9">+N18-M18</f>
        <v>451.56130357200004</v>
      </c>
      <c r="O34" s="37">
        <f t="shared" si="9"/>
        <v>461.60875926899985</v>
      </c>
      <c r="P34" s="37">
        <f t="shared" si="9"/>
        <v>569.60485587200014</v>
      </c>
      <c r="Q34" s="132">
        <f>+Q18</f>
        <v>558.79000551000001</v>
      </c>
      <c r="R34" s="37">
        <f t="shared" ref="R34:T35" si="10">+R18-Q18</f>
        <v>539.92647230199998</v>
      </c>
      <c r="S34" s="37">
        <f t="shared" si="10"/>
        <v>530.88198181600001</v>
      </c>
      <c r="T34" s="37">
        <f t="shared" si="10"/>
        <v>573.69017047300031</v>
      </c>
      <c r="U34" s="132">
        <f>+U18</f>
        <v>594.5794765899999</v>
      </c>
      <c r="V34" s="37">
        <f t="shared" ref="V34:X35" si="11">+V18-U18</f>
        <v>491.40095350563809</v>
      </c>
      <c r="W34" s="37">
        <f t="shared" si="11"/>
        <v>455.06828966436206</v>
      </c>
      <c r="X34" s="37">
        <f t="shared" si="11"/>
        <v>479.67013274800001</v>
      </c>
      <c r="Y34" s="132">
        <f>+Y18</f>
        <v>518.62819470784757</v>
      </c>
      <c r="Z34" s="37">
        <f t="shared" ref="Z34:AB35" si="12">+Z18-Y18</f>
        <v>471.76941960626846</v>
      </c>
      <c r="AA34" s="37">
        <f t="shared" si="12"/>
        <v>488.40199712079789</v>
      </c>
      <c r="AB34" s="37">
        <f t="shared" si="12"/>
        <v>567.73823443748483</v>
      </c>
      <c r="AC34" s="132">
        <f>+AC18</f>
        <v>444.09751332872071</v>
      </c>
      <c r="AD34" s="37">
        <f t="shared" ref="AD34:AF35" si="13">+AD18-AC18</f>
        <v>352.66088367727929</v>
      </c>
      <c r="AE34" s="37">
        <f t="shared" si="13"/>
        <v>274.93612900860762</v>
      </c>
      <c r="AF34" s="37">
        <f t="shared" si="13"/>
        <v>358.25361859206396</v>
      </c>
      <c r="AG34" s="132">
        <f>+AG18</f>
        <v>467.02404025978387</v>
      </c>
      <c r="AH34" s="37">
        <f t="shared" ref="AH34:AJ35" si="14">+AH18-AG18</f>
        <v>368.55077886121614</v>
      </c>
      <c r="AI34" s="37">
        <f t="shared" si="14"/>
        <v>329.21858904713804</v>
      </c>
      <c r="AJ34" s="37">
        <f t="shared" si="14"/>
        <v>404.86863086303856</v>
      </c>
      <c r="AK34" s="132">
        <f>+AK18</f>
        <v>443.28829072790273</v>
      </c>
      <c r="AL34" s="37">
        <f t="shared" ref="AL34:AN35" si="15">+AL18-AK18</f>
        <v>476.58655799032721</v>
      </c>
      <c r="AM34" s="37">
        <f t="shared" si="15"/>
        <v>491.07990417580459</v>
      </c>
      <c r="AN34" s="37">
        <f t="shared" si="15"/>
        <v>643.41018056734833</v>
      </c>
      <c r="AO34" s="132">
        <f>+AO18</f>
        <v>594.82569433506671</v>
      </c>
      <c r="AP34" s="37">
        <f t="shared" ref="AP34:AV35" si="16">+AP18-AO18</f>
        <v>653.95257291897008</v>
      </c>
      <c r="AQ34" s="37">
        <f t="shared" si="16"/>
        <v>567.49096351519415</v>
      </c>
      <c r="AR34" s="37">
        <f t="shared" si="16"/>
        <v>698.6209371361947</v>
      </c>
      <c r="AS34" s="132">
        <f>+AS18</f>
        <v>855.40994611124665</v>
      </c>
      <c r="AT34" s="37">
        <f t="shared" si="16"/>
        <v>622.5840749219044</v>
      </c>
      <c r="AU34" s="37">
        <f t="shared" si="16"/>
        <v>527.19164405967717</v>
      </c>
      <c r="AV34" s="37">
        <f t="shared" si="16"/>
        <v>569.81680352052149</v>
      </c>
    </row>
    <row r="35" spans="1:48" ht="15" customHeight="1" x14ac:dyDescent="0.2">
      <c r="B35" s="2" t="s">
        <v>67</v>
      </c>
      <c r="C35" s="4">
        <v>89.870999999999995</v>
      </c>
      <c r="D35" s="4">
        <f>+D19-C19</f>
        <v>-56.934085200000027</v>
      </c>
      <c r="E35" s="133">
        <f>+E19</f>
        <v>69.463527127078493</v>
      </c>
      <c r="F35" s="4">
        <f t="shared" si="7"/>
        <v>8.8838075578722453</v>
      </c>
      <c r="G35" s="4">
        <f t="shared" si="7"/>
        <v>51.773590879049266</v>
      </c>
      <c r="H35" s="4">
        <f t="shared" si="7"/>
        <v>51.284997952999987</v>
      </c>
      <c r="I35" s="133">
        <f>+I19</f>
        <v>90.854435169999988</v>
      </c>
      <c r="J35" s="4">
        <f t="shared" si="8"/>
        <v>58.555621934000015</v>
      </c>
      <c r="K35" s="4">
        <f t="shared" si="8"/>
        <v>48.000346532000009</v>
      </c>
      <c r="L35" s="4">
        <f t="shared" si="8"/>
        <v>71.012338761999956</v>
      </c>
      <c r="M35" s="133">
        <f>+M19</f>
        <v>82.779066711000013</v>
      </c>
      <c r="N35" s="4">
        <f t="shared" si="9"/>
        <v>82.122713723999993</v>
      </c>
      <c r="O35" s="4">
        <f t="shared" si="9"/>
        <v>65.929525137000013</v>
      </c>
      <c r="P35" s="4">
        <f t="shared" si="9"/>
        <v>69.299929271999986</v>
      </c>
      <c r="Q35" s="133">
        <f>+Q19</f>
        <v>72.734733719999994</v>
      </c>
      <c r="R35" s="4">
        <f t="shared" si="10"/>
        <v>66.771260356000013</v>
      </c>
      <c r="S35" s="4">
        <f t="shared" si="10"/>
        <v>47.637423247000015</v>
      </c>
      <c r="T35" s="4">
        <f t="shared" si="10"/>
        <v>27.822376603000009</v>
      </c>
      <c r="U35" s="133">
        <f>+U19</f>
        <v>89.364138784999994</v>
      </c>
      <c r="V35" s="4">
        <f t="shared" si="11"/>
        <v>-40.230963927351716</v>
      </c>
      <c r="W35" s="4">
        <f t="shared" si="11"/>
        <v>28.285074127351713</v>
      </c>
      <c r="X35" s="4">
        <f t="shared" si="11"/>
        <v>-10.570174488999996</v>
      </c>
      <c r="Y35" s="133">
        <f>+Y19</f>
        <v>97.331798067370997</v>
      </c>
      <c r="Z35" s="4">
        <f t="shared" si="12"/>
        <v>50.755492144844212</v>
      </c>
      <c r="AA35" s="4">
        <f t="shared" si="12"/>
        <v>49.276480719415645</v>
      </c>
      <c r="AB35" s="4">
        <f t="shared" si="12"/>
        <v>9.5532196926545225</v>
      </c>
      <c r="AC35" s="133">
        <f>+AC19</f>
        <v>46.899190102152929</v>
      </c>
      <c r="AD35" s="4">
        <f t="shared" si="13"/>
        <v>36.071888945847064</v>
      </c>
      <c r="AE35" s="4">
        <f t="shared" si="13"/>
        <v>38.302168448423473</v>
      </c>
      <c r="AF35" s="4">
        <f t="shared" si="13"/>
        <v>29.097831169311547</v>
      </c>
      <c r="AG35" s="133">
        <f>+AG19</f>
        <v>75.89275391886828</v>
      </c>
      <c r="AH35" s="4">
        <f t="shared" si="14"/>
        <v>51.928529636131714</v>
      </c>
      <c r="AI35" s="4">
        <f t="shared" si="14"/>
        <v>24.13204136226075</v>
      </c>
      <c r="AJ35" s="4">
        <f t="shared" si="14"/>
        <v>64.588539169416038</v>
      </c>
      <c r="AK35" s="133">
        <f>+AK19</f>
        <v>71.946219670710548</v>
      </c>
      <c r="AL35" s="4">
        <f t="shared" si="15"/>
        <v>65.262494159193608</v>
      </c>
      <c r="AM35" s="4">
        <f t="shared" si="15"/>
        <v>66.626715822811889</v>
      </c>
      <c r="AN35" s="4">
        <f t="shared" si="15"/>
        <v>78.352799185259329</v>
      </c>
      <c r="AO35" s="133">
        <f>+AO19</f>
        <v>89.48915839764804</v>
      </c>
      <c r="AP35" s="4">
        <f t="shared" si="16"/>
        <v>90.086710422713949</v>
      </c>
      <c r="AQ35" s="4">
        <f t="shared" si="16"/>
        <v>84.960637046652749</v>
      </c>
      <c r="AR35" s="4">
        <f t="shared" si="16"/>
        <v>108.81849713499338</v>
      </c>
      <c r="AS35" s="133">
        <f>+AS19</f>
        <v>198.34268772492516</v>
      </c>
      <c r="AT35" s="4">
        <f t="shared" si="16"/>
        <v>92.241685106364741</v>
      </c>
      <c r="AU35" s="4">
        <f t="shared" si="16"/>
        <v>90.607895264843364</v>
      </c>
      <c r="AV35" s="4">
        <f t="shared" si="16"/>
        <v>42.274017698761099</v>
      </c>
    </row>
    <row r="36" spans="1:48" ht="15" customHeight="1" x14ac:dyDescent="0.2">
      <c r="B36" s="22" t="s">
        <v>68</v>
      </c>
      <c r="C36" s="38">
        <f t="shared" ref="C36:AL36" si="17">+C35/C34</f>
        <v>0.16350348762321296</v>
      </c>
      <c r="D36" s="38">
        <f t="shared" si="17"/>
        <v>-0.11830372495620246</v>
      </c>
      <c r="E36" s="126">
        <f t="shared" si="17"/>
        <v>0.17774016475539028</v>
      </c>
      <c r="F36" s="38">
        <f t="shared" si="17"/>
        <v>2.4775552898223533E-2</v>
      </c>
      <c r="G36" s="38">
        <f t="shared" si="17"/>
        <v>0.12937624430564107</v>
      </c>
      <c r="H36" s="38">
        <f t="shared" si="17"/>
        <v>0.13830527645870885</v>
      </c>
      <c r="I36" s="126">
        <f t="shared" ref="I36" si="18">+I35/I34</f>
        <v>0.22666786265412869</v>
      </c>
      <c r="J36" s="38">
        <f t="shared" si="17"/>
        <v>0.17917249812082586</v>
      </c>
      <c r="K36" s="38">
        <f t="shared" si="17"/>
        <v>0.13539598953929266</v>
      </c>
      <c r="L36" s="38">
        <f t="shared" si="17"/>
        <v>0.16645866613088633</v>
      </c>
      <c r="M36" s="126">
        <f t="shared" ref="M36" si="19">+M35/M34</f>
        <v>0.1884751256438022</v>
      </c>
      <c r="N36" s="38">
        <f t="shared" si="17"/>
        <v>0.1818639309311538</v>
      </c>
      <c r="O36" s="38">
        <f t="shared" si="17"/>
        <v>0.14282555045403711</v>
      </c>
      <c r="P36" s="38">
        <f t="shared" si="17"/>
        <v>0.12166316448603601</v>
      </c>
      <c r="Q36" s="126">
        <f t="shared" ref="Q36" si="20">+Q35/Q34</f>
        <v>0.13016470051860715</v>
      </c>
      <c r="R36" s="38">
        <f t="shared" si="17"/>
        <v>0.12366732098042506</v>
      </c>
      <c r="S36" s="38">
        <f t="shared" si="17"/>
        <v>8.9732605133904908E-2</v>
      </c>
      <c r="T36" s="38">
        <f t="shared" si="17"/>
        <v>4.8497216851494614E-2</v>
      </c>
      <c r="U36" s="126">
        <f t="shared" ref="U36" si="21">+U35/U34</f>
        <v>0.15029805484965</v>
      </c>
      <c r="V36" s="38">
        <f t="shared" si="17"/>
        <v>-8.1869934602986333E-2</v>
      </c>
      <c r="W36" s="38">
        <f t="shared" si="17"/>
        <v>6.2155669313310125E-2</v>
      </c>
      <c r="X36" s="38">
        <f t="shared" si="17"/>
        <v>-2.2036340742009788E-2</v>
      </c>
      <c r="Y36" s="126">
        <f t="shared" ref="Y36" si="22">+Y35/Y34</f>
        <v>0.1876716288480994</v>
      </c>
      <c r="Z36" s="38">
        <f t="shared" si="17"/>
        <v>0.1075853797119872</v>
      </c>
      <c r="AA36" s="38">
        <f t="shared" si="17"/>
        <v>0.10089328260307656</v>
      </c>
      <c r="AB36" s="38">
        <f t="shared" si="17"/>
        <v>1.682680346889065E-2</v>
      </c>
      <c r="AC36" s="126">
        <f t="shared" ref="AC36" si="23">+AC35/AC34</f>
        <v>0.10560561294437643</v>
      </c>
      <c r="AD36" s="38">
        <f t="shared" si="17"/>
        <v>0.1022849162337395</v>
      </c>
      <c r="AE36" s="38">
        <f t="shared" si="17"/>
        <v>0.13931296911227087</v>
      </c>
      <c r="AF36" s="38">
        <f t="shared" si="17"/>
        <v>8.122131824841286E-2</v>
      </c>
      <c r="AG36" s="126">
        <f t="shared" ref="AG36" si="24">+AG35/AG34</f>
        <v>0.16250288502633109</v>
      </c>
      <c r="AH36" s="38">
        <f t="shared" si="17"/>
        <v>0.14089925354814201</v>
      </c>
      <c r="AI36" s="38">
        <f t="shared" si="17"/>
        <v>7.3300968308340222E-2</v>
      </c>
      <c r="AJ36" s="38">
        <f t="shared" si="17"/>
        <v>0.15952962083462929</v>
      </c>
      <c r="AK36" s="126">
        <f t="shared" ref="AK36" si="25">+AK35/AK34</f>
        <v>0.16230119580323465</v>
      </c>
      <c r="AL36" s="38">
        <f t="shared" si="17"/>
        <v>0.13693733712170325</v>
      </c>
      <c r="AM36" s="38">
        <f>+AM35/AM34</f>
        <v>0.13567387966044686</v>
      </c>
      <c r="AN36" s="38">
        <f>+AN35/AN34</f>
        <v>0.12177736932320396</v>
      </c>
      <c r="AO36" s="126">
        <f t="shared" ref="AO36" si="26">+AO35/AO34</f>
        <v>0.15044602015332342</v>
      </c>
      <c r="AP36" s="38">
        <f t="shared" ref="AO36:AV36" si="27">+AP35/AP34</f>
        <v>0.1377572535889027</v>
      </c>
      <c r="AQ36" s="38">
        <f t="shared" si="27"/>
        <v>0.14971275757482258</v>
      </c>
      <c r="AR36" s="38">
        <f t="shared" si="27"/>
        <v>0.15576186076109461</v>
      </c>
      <c r="AS36" s="126">
        <f t="shared" si="27"/>
        <v>0.23186857789835724</v>
      </c>
      <c r="AT36" s="38">
        <f t="shared" si="27"/>
        <v>0.14815940339934866</v>
      </c>
      <c r="AU36" s="38">
        <f t="shared" si="27"/>
        <v>0.17186898974177731</v>
      </c>
      <c r="AV36" s="71">
        <f t="shared" si="27"/>
        <v>7.4188787409528612E-2</v>
      </c>
    </row>
    <row r="37" spans="1:48" ht="15" customHeight="1" x14ac:dyDescent="0.2">
      <c r="B37" s="2" t="s">
        <v>69</v>
      </c>
      <c r="C37" s="39">
        <v>57.525000000000006</v>
      </c>
      <c r="D37" s="39">
        <f>+D21-C21</f>
        <v>-85.285259000000025</v>
      </c>
      <c r="E37" s="138">
        <f>+E21</f>
        <v>46.833960432091246</v>
      </c>
      <c r="F37" s="39">
        <f>+F21-E21</f>
        <v>-12.261980615509266</v>
      </c>
      <c r="G37" s="39">
        <f>+G21-F21</f>
        <v>26.718812779418023</v>
      </c>
      <c r="H37" s="39">
        <f>+H21-G21</f>
        <v>19.873052697999995</v>
      </c>
      <c r="I37" s="138">
        <f>+I21</f>
        <v>58.035328650000004</v>
      </c>
      <c r="J37" s="39">
        <f>+J21-I21</f>
        <v>35.349584201999996</v>
      </c>
      <c r="K37" s="39">
        <f>+K21-J21</f>
        <v>21.138032337000013</v>
      </c>
      <c r="L37" s="39">
        <f>+L21-K21</f>
        <v>36.19159025899998</v>
      </c>
      <c r="M37" s="138">
        <f>+M21</f>
        <v>50.388531336000007</v>
      </c>
      <c r="N37" s="39">
        <f>+N21-M21</f>
        <v>52.120849239000002</v>
      </c>
      <c r="O37" s="39">
        <f>+O21-N21</f>
        <v>43.877175237000003</v>
      </c>
      <c r="P37" s="39">
        <f>+P21-O21</f>
        <v>34.548422083999981</v>
      </c>
      <c r="Q37" s="138">
        <f>+Q21</f>
        <v>57.422716890000004</v>
      </c>
      <c r="R37" s="39">
        <f>+R21-Q21</f>
        <v>38.328049910999994</v>
      </c>
      <c r="S37" s="39">
        <f>+S21-R21</f>
        <v>24.062977669000006</v>
      </c>
      <c r="T37" s="39">
        <f>+T21-S21</f>
        <v>-8.1934777119999893</v>
      </c>
      <c r="U37" s="138">
        <f>+U21</f>
        <v>60.15502108199999</v>
      </c>
      <c r="V37" s="39">
        <f>+V21-U21</f>
        <v>-84.404012181563246</v>
      </c>
      <c r="W37" s="39">
        <f>+W21-V21</f>
        <v>2.4269090595632612</v>
      </c>
      <c r="X37" s="39">
        <f>+X21-W21</f>
        <v>-43.089882400999997</v>
      </c>
      <c r="Y37" s="138">
        <f>+Y21</f>
        <v>63.174839700171546</v>
      </c>
      <c r="Z37" s="39">
        <f>+Z21-Y21</f>
        <v>30.743048320541462</v>
      </c>
      <c r="AA37" s="39">
        <f>+AA21-Z21</f>
        <v>26.020589174217037</v>
      </c>
      <c r="AB37" s="39">
        <f>+AB21-AA21</f>
        <v>-108.72649457430347</v>
      </c>
      <c r="AC37" s="138">
        <f>+AC21</f>
        <v>10.873794310365874</v>
      </c>
      <c r="AD37" s="39">
        <f>+AD21-AC21</f>
        <v>11.577557326634125</v>
      </c>
      <c r="AE37" s="39">
        <f>+AE21-AD21</f>
        <v>3.9122505013931992</v>
      </c>
      <c r="AF37" s="39">
        <f>+AF21-AE21</f>
        <v>16.489915569671979</v>
      </c>
      <c r="AG37" s="138">
        <f>+AG21</f>
        <v>56.370498826889659</v>
      </c>
      <c r="AH37" s="39">
        <f>+AH21-AG21</f>
        <v>29.272622608110339</v>
      </c>
      <c r="AI37" s="39">
        <f>+AI21-AH21</f>
        <v>0.46421760761479902</v>
      </c>
      <c r="AJ37" s="39">
        <f>+AJ21-AI21</f>
        <v>17.697372530891599</v>
      </c>
      <c r="AK37" s="138">
        <f>+AK21</f>
        <v>44.321382149046777</v>
      </c>
      <c r="AL37" s="39">
        <f>+AL21-AK21</f>
        <v>74.889752189164113</v>
      </c>
      <c r="AM37" s="39">
        <f>+AM21-AL21</f>
        <v>38.382365216553197</v>
      </c>
      <c r="AN37" s="39">
        <f>+AN21-AM21</f>
        <v>55.932910103625517</v>
      </c>
      <c r="AO37" s="138">
        <f>+AO21</f>
        <v>55.494303564865938</v>
      </c>
      <c r="AP37" s="39">
        <f>+AP21-AO21</f>
        <v>38.485138432197097</v>
      </c>
      <c r="AQ37" s="39">
        <f>+AQ21-AP21</f>
        <v>13.189397637878699</v>
      </c>
      <c r="AR37" s="39">
        <f>+AR21-AQ21</f>
        <v>123.06697328818605</v>
      </c>
      <c r="AS37" s="138">
        <f>+AS21</f>
        <v>158.75440526580783</v>
      </c>
      <c r="AT37" s="39">
        <f>+AT21-AS21</f>
        <v>69.636612048283638</v>
      </c>
      <c r="AU37" s="39">
        <f>+AU21-AT21</f>
        <v>56.783110272971726</v>
      </c>
      <c r="AV37" s="39">
        <f>+AV21-AU21</f>
        <v>-2.4489547841284889</v>
      </c>
    </row>
    <row r="38" spans="1:48" ht="15" customHeight="1" x14ac:dyDescent="0.2">
      <c r="B38" s="22" t="s">
        <v>68</v>
      </c>
      <c r="C38" s="38">
        <f t="shared" ref="C38:AL38" si="28">+C37/C34</f>
        <v>0.10465598608589342</v>
      </c>
      <c r="D38" s="38">
        <f t="shared" si="28"/>
        <v>-0.17721482286246498</v>
      </c>
      <c r="E38" s="126">
        <f t="shared" si="28"/>
        <v>0.11983664215781424</v>
      </c>
      <c r="F38" s="38">
        <f t="shared" si="28"/>
        <v>-3.4196750368296322E-2</v>
      </c>
      <c r="G38" s="38">
        <f t="shared" si="28"/>
        <v>6.6767237717434313E-2</v>
      </c>
      <c r="H38" s="38">
        <f t="shared" si="28"/>
        <v>5.3593607432611767E-2</v>
      </c>
      <c r="I38" s="126">
        <f t="shared" ref="I38" si="29">+I37/I34</f>
        <v>0.14478923212621655</v>
      </c>
      <c r="J38" s="38">
        <f t="shared" si="28"/>
        <v>0.10816507620982513</v>
      </c>
      <c r="K38" s="38">
        <f t="shared" si="28"/>
        <v>5.9624669652617902E-2</v>
      </c>
      <c r="L38" s="38">
        <f t="shared" si="28"/>
        <v>8.4836015046056867E-2</v>
      </c>
      <c r="M38" s="126">
        <f t="shared" ref="M38" si="30">+M37/M34</f>
        <v>0.11472688871590368</v>
      </c>
      <c r="N38" s="38">
        <f t="shared" si="28"/>
        <v>0.11542363977317532</v>
      </c>
      <c r="O38" s="38">
        <f t="shared" si="28"/>
        <v>9.5052735365081825E-2</v>
      </c>
      <c r="P38" s="38">
        <f t="shared" si="28"/>
        <v>6.0653313832990913E-2</v>
      </c>
      <c r="Q38" s="126">
        <f t="shared" ref="Q38" si="31">+Q37/Q34</f>
        <v>0.10276260549361664</v>
      </c>
      <c r="R38" s="38">
        <f t="shared" si="28"/>
        <v>7.0987536039095633E-2</v>
      </c>
      <c r="S38" s="38">
        <f t="shared" si="28"/>
        <v>4.5326416215308786E-2</v>
      </c>
      <c r="T38" s="38">
        <f t="shared" si="28"/>
        <v>-1.4282060480911796E-2</v>
      </c>
      <c r="U38" s="126">
        <f t="shared" ref="U38" si="32">+U37/U34</f>
        <v>0.10117238056550122</v>
      </c>
      <c r="V38" s="38">
        <f t="shared" si="28"/>
        <v>-0.17176200326724608</v>
      </c>
      <c r="W38" s="38">
        <f t="shared" si="28"/>
        <v>5.3330656402212524E-3</v>
      </c>
      <c r="X38" s="38">
        <f t="shared" si="28"/>
        <v>-8.9832323213748524E-2</v>
      </c>
      <c r="Y38" s="126">
        <f t="shared" ref="Y38" si="33">+Y37/Y34</f>
        <v>0.12181142549675505</v>
      </c>
      <c r="Z38" s="38">
        <f t="shared" si="28"/>
        <v>6.5165411412632768E-2</v>
      </c>
      <c r="AA38" s="38">
        <f t="shared" si="28"/>
        <v>5.3276991755996622E-2</v>
      </c>
      <c r="AB38" s="38">
        <f t="shared" si="28"/>
        <v>-0.19150814227269669</v>
      </c>
      <c r="AC38" s="126">
        <f t="shared" ref="AC38" si="34">+AC37/AC34</f>
        <v>2.4485150184385514E-2</v>
      </c>
      <c r="AD38" s="38">
        <f t="shared" si="28"/>
        <v>3.2829150786194854E-2</v>
      </c>
      <c r="AE38" s="38">
        <f t="shared" si="28"/>
        <v>1.4229670416545057E-2</v>
      </c>
      <c r="AF38" s="38">
        <f t="shared" si="28"/>
        <v>4.6028608544073653E-2</v>
      </c>
      <c r="AG38" s="126">
        <f t="shared" ref="AG38" si="35">+AG37/AG34</f>
        <v>0.12070149278725215</v>
      </c>
      <c r="AH38" s="38">
        <f t="shared" si="28"/>
        <v>7.9426294250577137E-2</v>
      </c>
      <c r="AI38" s="38">
        <f t="shared" si="28"/>
        <v>1.4100589184784205E-3</v>
      </c>
      <c r="AJ38" s="38">
        <f t="shared" si="28"/>
        <v>4.3711394713803781E-2</v>
      </c>
      <c r="AK38" s="126">
        <f t="shared" ref="AK38" si="36">+AK37/AK34</f>
        <v>9.9983200720841811E-2</v>
      </c>
      <c r="AL38" s="38">
        <f t="shared" si="28"/>
        <v>0.15713777682895555</v>
      </c>
      <c r="AM38" s="38">
        <f>+AM37/AM34</f>
        <v>7.8159103824400167E-2</v>
      </c>
      <c r="AN38" s="38">
        <f>+AN37/AN34</f>
        <v>8.6931963144109434E-2</v>
      </c>
      <c r="AO38" s="126">
        <f t="shared" ref="AO38" si="37">+AO37/AO34</f>
        <v>9.3295067939021925E-2</v>
      </c>
      <c r="AP38" s="38">
        <f t="shared" ref="AO38:AV38" si="38">+AP37/AP34</f>
        <v>5.8850045134642683E-2</v>
      </c>
      <c r="AQ38" s="38">
        <f t="shared" si="38"/>
        <v>2.3241599401301414E-2</v>
      </c>
      <c r="AR38" s="38">
        <f t="shared" si="38"/>
        <v>0.1761570069638414</v>
      </c>
      <c r="AS38" s="126">
        <f t="shared" si="38"/>
        <v>0.18558868293210343</v>
      </c>
      <c r="AT38" s="38">
        <f t="shared" si="38"/>
        <v>0.11185093685060721</v>
      </c>
      <c r="AU38" s="38">
        <f t="shared" si="38"/>
        <v>0.10770866896847853</v>
      </c>
      <c r="AV38" s="71">
        <f t="shared" si="38"/>
        <v>-4.2977932012499727E-3</v>
      </c>
    </row>
    <row r="39" spans="1:48" ht="15" customHeight="1" x14ac:dyDescent="0.2">
      <c r="B39" s="2" t="s">
        <v>70</v>
      </c>
      <c r="C39" s="4">
        <f>+C23-236</f>
        <v>19.0822</v>
      </c>
      <c r="D39" s="4">
        <f>+D23-C23</f>
        <v>-64.744000000000028</v>
      </c>
      <c r="E39" s="133">
        <f>+E23</f>
        <v>56.438888214589113</v>
      </c>
      <c r="F39" s="4">
        <f>+F23-E23</f>
        <v>-0.38530801151612337</v>
      </c>
      <c r="G39" s="4">
        <f>+G23-F23</f>
        <v>40.915427796927013</v>
      </c>
      <c r="H39" s="4">
        <f>+H23-G23</f>
        <v>33.717114000000009</v>
      </c>
      <c r="I39" s="133">
        <f>+I23</f>
        <v>71.907479999999993</v>
      </c>
      <c r="J39" s="4">
        <f>+J23-I23</f>
        <v>44.161704</v>
      </c>
      <c r="K39" s="4">
        <f>+K23-J23</f>
        <v>31.204699000000019</v>
      </c>
      <c r="L39" s="4">
        <f>+L23-K23</f>
        <v>52.18632599999998</v>
      </c>
      <c r="M39" s="133">
        <f>+M23</f>
        <v>59.846886000000005</v>
      </c>
      <c r="N39" s="4">
        <f>+N23-M23</f>
        <v>60.989319000000002</v>
      </c>
      <c r="O39" s="4">
        <f>+O23-N23</f>
        <v>53.442333000000019</v>
      </c>
      <c r="P39" s="4">
        <f>+P23-O23</f>
        <v>42.384253999999999</v>
      </c>
      <c r="Q39" s="133">
        <f>+Q23</f>
        <v>54.192929999999997</v>
      </c>
      <c r="R39" s="4">
        <f>+R23-Q23</f>
        <v>53.975456000000001</v>
      </c>
      <c r="S39" s="4">
        <f>+S23-R23</f>
        <v>37.857575999999995</v>
      </c>
      <c r="T39" s="4">
        <f>+T23-S23</f>
        <v>10.764451000000037</v>
      </c>
      <c r="U39" s="133">
        <f>+U23</f>
        <v>67.966062999999991</v>
      </c>
      <c r="V39" s="4">
        <f>+V23-U23</f>
        <v>-56.909619857758855</v>
      </c>
      <c r="W39" s="4">
        <f>+W23-V23</f>
        <v>20.618001857758863</v>
      </c>
      <c r="X39" s="4">
        <f>+X23-W23</f>
        <v>-26.420414999999998</v>
      </c>
      <c r="Y39" s="133">
        <f>+Y23</f>
        <v>76.311749300099279</v>
      </c>
      <c r="Z39" s="4">
        <f>+Z23-Y23</f>
        <v>39.736149354484937</v>
      </c>
      <c r="AA39" s="4">
        <f>+AA23-Z23</f>
        <v>38.91555772435909</v>
      </c>
      <c r="AB39" s="4">
        <f>+AB23-AA23</f>
        <v>-68.981293104303475</v>
      </c>
      <c r="AC39" s="133">
        <f>+AC23</f>
        <v>30.116804362866784</v>
      </c>
      <c r="AD39" s="4">
        <f>+AD23-AC23</f>
        <v>31.196876637133219</v>
      </c>
      <c r="AE39" s="4">
        <f>+AE23-AD23</f>
        <v>31.676304693848365</v>
      </c>
      <c r="AF39" s="4">
        <f>+AF23-AE23</f>
        <v>15.134025927644046</v>
      </c>
      <c r="AG39" s="133">
        <f>+AG23</f>
        <v>63.585977081845613</v>
      </c>
      <c r="AH39" s="4">
        <f>+AH23-AG23</f>
        <v>38.878033918154387</v>
      </c>
      <c r="AI39" s="4">
        <f>+AI23-AH23</f>
        <v>16.612040724726057</v>
      </c>
      <c r="AJ39" s="4">
        <f>+AJ23-AI23</f>
        <v>56.199784066002991</v>
      </c>
      <c r="AK39" s="133">
        <f>+AK23</f>
        <v>60.387781629116098</v>
      </c>
      <c r="AL39" s="4">
        <f>+AL23-AK23</f>
        <v>73.015233003956723</v>
      </c>
      <c r="AM39" s="4">
        <f>+AM23-AL23</f>
        <v>56.657092223561307</v>
      </c>
      <c r="AN39" s="4">
        <f>+AN23-AM23</f>
        <v>85.697884637398346</v>
      </c>
      <c r="AO39" s="133">
        <f>+AO23</f>
        <v>77.571271066309762</v>
      </c>
      <c r="AP39" s="4">
        <f>+AP23-AO23</f>
        <v>67.558440142696426</v>
      </c>
      <c r="AQ39" s="4">
        <f>+AQ23-AP23</f>
        <v>68.241431772306299</v>
      </c>
      <c r="AR39" s="4">
        <f>+AR23-AQ23</f>
        <v>97.42739121052611</v>
      </c>
      <c r="AS39" s="133">
        <f>+AS23</f>
        <v>175.76982602696319</v>
      </c>
      <c r="AT39" s="4">
        <f>+AT23-AS23</f>
        <v>72.883660813971346</v>
      </c>
      <c r="AU39" s="4">
        <f>+AU23-AT23</f>
        <v>70.703075337345865</v>
      </c>
      <c r="AV39" s="4">
        <f>+AV23-AU23</f>
        <v>19.380918425472601</v>
      </c>
    </row>
    <row r="40" spans="1:48" ht="15" customHeight="1" x14ac:dyDescent="0.2">
      <c r="B40" s="22" t="s">
        <v>68</v>
      </c>
      <c r="C40" s="38">
        <f t="shared" ref="C40:AL40" si="39">+C39/C34</f>
        <v>3.4716496439604262E-2</v>
      </c>
      <c r="D40" s="38">
        <f t="shared" si="39"/>
        <v>-0.13453200032384768</v>
      </c>
      <c r="E40" s="126">
        <f t="shared" si="39"/>
        <v>0.14441330155205478</v>
      </c>
      <c r="F40" s="38">
        <f t="shared" si="39"/>
        <v>-1.0745639140919713E-3</v>
      </c>
      <c r="G40" s="38">
        <f t="shared" si="39"/>
        <v>0.10224294457171043</v>
      </c>
      <c r="H40" s="38">
        <f t="shared" si="39"/>
        <v>9.0928243332161832E-2</v>
      </c>
      <c r="I40" s="126">
        <f t="shared" ref="I40" si="40">+I39/I34</f>
        <v>0.17939811930971586</v>
      </c>
      <c r="J40" s="38">
        <f t="shared" si="39"/>
        <v>0.13512900325558799</v>
      </c>
      <c r="K40" s="38">
        <f t="shared" si="39"/>
        <v>8.8020012450621327E-2</v>
      </c>
      <c r="L40" s="38">
        <f t="shared" si="39"/>
        <v>0.1223289694111595</v>
      </c>
      <c r="M40" s="126">
        <f t="shared" ref="M40" si="41">+M39/M34</f>
        <v>0.13626209869724737</v>
      </c>
      <c r="N40" s="38">
        <f t="shared" si="39"/>
        <v>0.13506320961861482</v>
      </c>
      <c r="O40" s="38">
        <f t="shared" si="39"/>
        <v>0.1157740877461487</v>
      </c>
      <c r="P40" s="38">
        <f t="shared" si="39"/>
        <v>7.4409923937734934E-2</v>
      </c>
      <c r="Q40" s="126">
        <f t="shared" ref="Q40" si="42">+Q39/Q34</f>
        <v>9.6982640107420762E-2</v>
      </c>
      <c r="R40" s="38">
        <f t="shared" si="39"/>
        <v>9.9968160053114818E-2</v>
      </c>
      <c r="S40" s="38">
        <f t="shared" si="39"/>
        <v>7.1310719325036659E-2</v>
      </c>
      <c r="T40" s="38">
        <f t="shared" si="39"/>
        <v>1.8763526994239561E-2</v>
      </c>
      <c r="U40" s="126">
        <f t="shared" ref="U40" si="43">+U39/U34</f>
        <v>0.11430946690221346</v>
      </c>
      <c r="V40" s="38">
        <f t="shared" si="39"/>
        <v>-0.11581096750376148</v>
      </c>
      <c r="W40" s="38">
        <f t="shared" si="39"/>
        <v>4.5307489724159371E-2</v>
      </c>
      <c r="X40" s="38">
        <f t="shared" si="39"/>
        <v>-5.5080383780910236E-2</v>
      </c>
      <c r="Y40" s="126">
        <f t="shared" ref="Y40" si="44">+Y39/Y34</f>
        <v>0.14714153622729098</v>
      </c>
      <c r="Z40" s="38">
        <f t="shared" si="39"/>
        <v>8.4227903935884862E-2</v>
      </c>
      <c r="AA40" s="38">
        <f t="shared" si="39"/>
        <v>7.9679358302734357E-2</v>
      </c>
      <c r="AB40" s="38">
        <f t="shared" si="39"/>
        <v>-0.12150193332082021</v>
      </c>
      <c r="AC40" s="126">
        <f t="shared" ref="AC40" si="45">+AC39/AC34</f>
        <v>6.7815746449754022E-2</v>
      </c>
      <c r="AD40" s="38">
        <f t="shared" si="39"/>
        <v>8.8461403237682423E-2</v>
      </c>
      <c r="AE40" s="38">
        <f t="shared" si="39"/>
        <v>0.11521332175611104</v>
      </c>
      <c r="AF40" s="38">
        <f t="shared" si="39"/>
        <v>4.2243888525455069E-2</v>
      </c>
      <c r="AG40" s="126">
        <f t="shared" ref="AG40" si="46">+AG39/AG34</f>
        <v>0.13615140035719719</v>
      </c>
      <c r="AH40" s="38">
        <f t="shared" si="39"/>
        <v>0.1054889479226811</v>
      </c>
      <c r="AI40" s="38">
        <f t="shared" si="39"/>
        <v>5.0458999817739693E-2</v>
      </c>
      <c r="AJ40" s="38">
        <f t="shared" si="39"/>
        <v>0.13880992445921206</v>
      </c>
      <c r="AK40" s="126">
        <f t="shared" ref="AK40" si="47">+AK39/AK34</f>
        <v>0.13622688190106755</v>
      </c>
      <c r="AL40" s="38">
        <f t="shared" si="39"/>
        <v>0.15320455808037842</v>
      </c>
      <c r="AM40" s="38">
        <f>+AM39/AM34</f>
        <v>0.1153724510854313</v>
      </c>
      <c r="AN40" s="38">
        <f>+AN39/AN34</f>
        <v>0.13319323695163074</v>
      </c>
      <c r="AO40" s="126">
        <f t="shared" ref="AO40" si="48">+AO39/AO34</f>
        <v>0.13041008787124397</v>
      </c>
      <c r="AP40" s="38">
        <f t="shared" ref="AO40:AV40" si="49">+AP39/AP34</f>
        <v>0.10330785891879571</v>
      </c>
      <c r="AQ40" s="38">
        <f t="shared" si="49"/>
        <v>0.12025113377947064</v>
      </c>
      <c r="AR40" s="38">
        <f t="shared" si="49"/>
        <v>0.1394567297251397</v>
      </c>
      <c r="AS40" s="126">
        <f t="shared" si="49"/>
        <v>0.20548022246646194</v>
      </c>
      <c r="AT40" s="38">
        <f t="shared" si="49"/>
        <v>0.11706637504840404</v>
      </c>
      <c r="AU40" s="38">
        <f t="shared" si="49"/>
        <v>0.13411266307806349</v>
      </c>
      <c r="AV40" s="71">
        <f t="shared" si="49"/>
        <v>3.4012542813287909E-2</v>
      </c>
    </row>
    <row r="41" spans="1:48" ht="15" customHeight="1" x14ac:dyDescent="0.2">
      <c r="B41" s="1" t="s">
        <v>71</v>
      </c>
      <c r="C41" s="40">
        <v>6.5000000000000002E-2</v>
      </c>
      <c r="D41" s="40">
        <f>+D25-C25</f>
        <v>-47.942815599999996</v>
      </c>
      <c r="E41" s="139">
        <f>+E25</f>
        <v>-32.256341789052051</v>
      </c>
      <c r="F41" s="40">
        <f t="shared" ref="D41:H44" si="50">+F25-E25</f>
        <v>9.8573311399040868</v>
      </c>
      <c r="G41" s="40">
        <f t="shared" si="50"/>
        <v>4.1516123871479635</v>
      </c>
      <c r="H41" s="40">
        <f t="shared" si="50"/>
        <v>0.75227890000000031</v>
      </c>
      <c r="I41" s="139">
        <f>+I25</f>
        <v>-1.9201960399999998</v>
      </c>
      <c r="J41" s="40">
        <f t="shared" ref="J41:L44" si="51">+J25-I25</f>
        <v>-0.5667181240000001</v>
      </c>
      <c r="K41" s="40">
        <f t="shared" si="51"/>
        <v>12.062358243</v>
      </c>
      <c r="L41" s="40">
        <f t="shared" si="51"/>
        <v>-1.202750300000055E-2</v>
      </c>
      <c r="M41" s="139">
        <f>+M25</f>
        <v>11.237207849999999</v>
      </c>
      <c r="N41" s="40">
        <f t="shared" ref="N41:P44" si="52">+N25-M25</f>
        <v>3.5911207350000023</v>
      </c>
      <c r="O41" s="40">
        <f t="shared" si="52"/>
        <v>-10.920039669000001</v>
      </c>
      <c r="P41" s="40">
        <f t="shared" si="52"/>
        <v>1.5920731239999997</v>
      </c>
      <c r="Q41" s="139">
        <f>+Q25</f>
        <v>3.2498997300000001</v>
      </c>
      <c r="R41" s="40">
        <f t="shared" ref="R41:T44" si="53">+R25-Q25</f>
        <v>5.0149455569999999</v>
      </c>
      <c r="S41" s="40">
        <f t="shared" si="53"/>
        <v>2.3604941769999996</v>
      </c>
      <c r="T41" s="40">
        <f t="shared" si="53"/>
        <v>1.0139773160000018</v>
      </c>
      <c r="U41" s="139">
        <f>+U25</f>
        <v>5.8321622489999987</v>
      </c>
      <c r="V41" s="40">
        <f t="shared" ref="V41:X44" si="54">+V25-U25</f>
        <v>9.9105543190800454</v>
      </c>
      <c r="W41" s="40">
        <f t="shared" si="54"/>
        <v>6.9759133219199541</v>
      </c>
      <c r="X41" s="40">
        <f t="shared" si="54"/>
        <v>15.418797671000004</v>
      </c>
      <c r="Y41" s="139">
        <f>+Y25</f>
        <v>11.006953851711362</v>
      </c>
      <c r="Z41" s="40">
        <f t="shared" ref="Z41:AB44" si="55">+Z25-Y25</f>
        <v>-0.49051758558716863</v>
      </c>
      <c r="AA41" s="40">
        <f t="shared" si="55"/>
        <v>10.360148061750705</v>
      </c>
      <c r="AB41" s="40">
        <f t="shared" si="55"/>
        <v>6.2402690908307932</v>
      </c>
      <c r="AC41" s="139">
        <f>+AC25</f>
        <v>19.663017378210078</v>
      </c>
      <c r="AD41" s="40">
        <f t="shared" ref="AD41:AF44" si="56">+AD25-AC25</f>
        <v>9.6437505407899238</v>
      </c>
      <c r="AE41" s="40">
        <f t="shared" si="56"/>
        <v>20.309224852628645</v>
      </c>
      <c r="AF41" s="40">
        <f t="shared" si="56"/>
        <v>-3.1138413244586189</v>
      </c>
      <c r="AG41" s="139">
        <f>+AG25</f>
        <v>-2.4091264578870386</v>
      </c>
      <c r="AH41" s="40">
        <f t="shared" ref="AH41:AJ44" si="57">+AH25-AG25</f>
        <v>6.2647203968870384</v>
      </c>
      <c r="AI41" s="40">
        <f t="shared" si="57"/>
        <v>5.4558803521733488</v>
      </c>
      <c r="AJ41" s="40">
        <f t="shared" si="57"/>
        <v>27.933812478648683</v>
      </c>
      <c r="AK41" s="139">
        <f>+AK25</f>
        <v>9.5201473136915045</v>
      </c>
      <c r="AL41" s="40">
        <f t="shared" ref="AL41:AV44" si="58">+AL25-AK25</f>
        <v>-3.7483352331545969</v>
      </c>
      <c r="AM41" s="40">
        <f t="shared" si="58"/>
        <v>6.292413208866483</v>
      </c>
      <c r="AN41" s="40">
        <f t="shared" si="58"/>
        <v>17.207828490264625</v>
      </c>
      <c r="AO41" s="139">
        <f>+AO25</f>
        <v>18.270593794298339</v>
      </c>
      <c r="AP41" s="40">
        <f t="shared" si="58"/>
        <v>40.419322994737328</v>
      </c>
      <c r="AQ41" s="40">
        <f t="shared" si="58"/>
        <v>83.794655136214288</v>
      </c>
      <c r="AR41" s="40">
        <f t="shared" si="58"/>
        <v>-37.305797158682012</v>
      </c>
      <c r="AS41" s="139">
        <f>+AS25</f>
        <v>20.446773201066609</v>
      </c>
      <c r="AT41" s="40">
        <f t="shared" si="58"/>
        <v>9.4624746235503636</v>
      </c>
      <c r="AU41" s="40">
        <f t="shared" si="58"/>
        <v>-0.14869544434084503</v>
      </c>
      <c r="AV41" s="40">
        <f t="shared" si="58"/>
        <v>10.956403466811</v>
      </c>
    </row>
    <row r="42" spans="1:48" ht="15" customHeight="1" x14ac:dyDescent="0.2">
      <c r="B42" s="66" t="s">
        <v>185</v>
      </c>
      <c r="C42" s="39">
        <v>47.234999999999999</v>
      </c>
      <c r="D42" s="68">
        <f t="shared" si="50"/>
        <v>-133.7278</v>
      </c>
      <c r="E42" s="140">
        <f>+E26</f>
        <v>14.56487437795848</v>
      </c>
      <c r="F42" s="68">
        <f t="shared" si="50"/>
        <v>-2.1085232217200378</v>
      </c>
      <c r="G42" s="68">
        <f t="shared" si="50"/>
        <v>30.286566843761562</v>
      </c>
      <c r="H42" s="68">
        <f t="shared" si="50"/>
        <v>20.659259999999996</v>
      </c>
      <c r="I42" s="140">
        <f>+I26</f>
        <v>55.928039999999996</v>
      </c>
      <c r="J42" s="68">
        <f t="shared" si="51"/>
        <v>35.080752000000004</v>
      </c>
      <c r="K42" s="68">
        <f t="shared" si="51"/>
        <v>33.150356000000016</v>
      </c>
      <c r="L42" s="68">
        <f t="shared" si="51"/>
        <v>35.942691999999994</v>
      </c>
      <c r="M42" s="140">
        <f>+M26</f>
        <v>61.756893000000005</v>
      </c>
      <c r="N42" s="68">
        <f t="shared" si="52"/>
        <v>55.882587000000001</v>
      </c>
      <c r="O42" s="68">
        <f t="shared" si="52"/>
        <v>32.536706999999993</v>
      </c>
      <c r="P42" s="68">
        <f t="shared" si="52"/>
        <v>35.962288999999998</v>
      </c>
      <c r="Q42" s="140">
        <f>+Q26</f>
        <v>62.573279999999997</v>
      </c>
      <c r="R42" s="68">
        <f t="shared" si="53"/>
        <v>43.364829999999998</v>
      </c>
      <c r="S42" s="68">
        <f t="shared" si="53"/>
        <v>27.826130000000006</v>
      </c>
      <c r="T42" s="68">
        <f t="shared" si="53"/>
        <v>68.779959000000019</v>
      </c>
      <c r="U42" s="140">
        <f>+U26</f>
        <v>96.612915999999984</v>
      </c>
      <c r="V42" s="68">
        <f t="shared" si="54"/>
        <v>-75.052851872629759</v>
      </c>
      <c r="W42" s="68">
        <f t="shared" si="54"/>
        <v>6.3563958726297791</v>
      </c>
      <c r="X42" s="68">
        <f t="shared" si="54"/>
        <v>-30.543475000000001</v>
      </c>
      <c r="Y42" s="140">
        <f>+Y26</f>
        <v>77.666395737379148</v>
      </c>
      <c r="Z42" s="68">
        <f t="shared" si="55"/>
        <v>31.446369531472939</v>
      </c>
      <c r="AA42" s="68">
        <f t="shared" si="55"/>
        <v>36.59914147552746</v>
      </c>
      <c r="AB42" s="68">
        <f t="shared" si="55"/>
        <v>-101.80612124243581</v>
      </c>
      <c r="AC42" s="140">
        <f>+AC26</f>
        <v>35.814578161246985</v>
      </c>
      <c r="AD42" s="68">
        <f t="shared" si="56"/>
        <v>20.812706838753016</v>
      </c>
      <c r="AE42" s="68">
        <f t="shared" si="56"/>
        <v>24.315415097884198</v>
      </c>
      <c r="AF42" s="68">
        <f t="shared" si="56"/>
        <v>14.677174125204331</v>
      </c>
      <c r="AG42" s="140">
        <f>+AG26</f>
        <v>57.125369784759698</v>
      </c>
      <c r="AH42" s="68">
        <f t="shared" si="57"/>
        <v>36.428727215240301</v>
      </c>
      <c r="AI42" s="68">
        <f t="shared" si="57"/>
        <v>5.7328114581526677</v>
      </c>
      <c r="AJ42" s="68">
        <f t="shared" si="57"/>
        <v>46.168841848331382</v>
      </c>
      <c r="AK42" s="140">
        <f>+AK26</f>
        <v>56.055025996533772</v>
      </c>
      <c r="AL42" s="68">
        <f t="shared" si="58"/>
        <v>73.497179966718392</v>
      </c>
      <c r="AM42" s="68">
        <f t="shared" si="58"/>
        <v>44.924641766044459</v>
      </c>
      <c r="AN42" s="68">
        <f t="shared" si="58"/>
        <v>73.019379462362366</v>
      </c>
      <c r="AO42" s="140">
        <f>+AO26</f>
        <v>75.899879246075599</v>
      </c>
      <c r="AP42" s="68">
        <f t="shared" si="58"/>
        <v>78.28514278035594</v>
      </c>
      <c r="AQ42" s="68">
        <f t="shared" si="58"/>
        <v>96.923626387302022</v>
      </c>
      <c r="AR42" s="68">
        <f t="shared" si="58"/>
        <v>88.635870333290171</v>
      </c>
      <c r="AS42" s="140">
        <f>+AS26</f>
        <v>181.0690111693302</v>
      </c>
      <c r="AT42" s="68">
        <f t="shared" si="58"/>
        <v>78.842549946031824</v>
      </c>
      <c r="AU42" s="68">
        <f t="shared" si="58"/>
        <v>58.504073092454405</v>
      </c>
      <c r="AV42" s="68">
        <f t="shared" si="58"/>
        <v>-5.0768346592193438</v>
      </c>
    </row>
    <row r="43" spans="1:48" ht="15" customHeight="1" x14ac:dyDescent="0.2">
      <c r="B43" s="1" t="s">
        <v>72</v>
      </c>
      <c r="C43" s="40">
        <v>-12.629</v>
      </c>
      <c r="D43" s="40">
        <f>+D27-C27</f>
        <v>24.438157800000013</v>
      </c>
      <c r="E43" s="139">
        <f>+E27</f>
        <v>-11.096613666707118</v>
      </c>
      <c r="F43" s="40">
        <f t="shared" si="50"/>
        <v>6.6895566276299574</v>
      </c>
      <c r="G43" s="40">
        <f t="shared" si="50"/>
        <v>-2.574711536922841</v>
      </c>
      <c r="H43" s="40">
        <f t="shared" si="50"/>
        <v>-11.946369401000002</v>
      </c>
      <c r="I43" s="139">
        <f>+I27</f>
        <v>-11.658998909999999</v>
      </c>
      <c r="J43" s="40">
        <f t="shared" si="51"/>
        <v>-9.0197813940000007</v>
      </c>
      <c r="K43" s="40">
        <f t="shared" si="51"/>
        <v>-6.2446026030000041</v>
      </c>
      <c r="L43" s="40">
        <f t="shared" si="51"/>
        <v>-14.458940186999996</v>
      </c>
      <c r="M43" s="139">
        <f>+M27</f>
        <v>-13.077817929000002</v>
      </c>
      <c r="N43" s="40">
        <f t="shared" si="52"/>
        <v>-12.713359370999999</v>
      </c>
      <c r="O43" s="40">
        <f t="shared" si="52"/>
        <v>-2.7664005810000027</v>
      </c>
      <c r="P43" s="40">
        <f t="shared" si="52"/>
        <v>-12.644862074999995</v>
      </c>
      <c r="Q43" s="139">
        <f>+Q27</f>
        <v>-10.68829839</v>
      </c>
      <c r="R43" s="40">
        <f t="shared" si="53"/>
        <v>-11.330658989</v>
      </c>
      <c r="S43" s="40">
        <f t="shared" si="53"/>
        <v>-1.5620060799999997</v>
      </c>
      <c r="T43" s="40">
        <f t="shared" si="53"/>
        <v>-11.201399442000007</v>
      </c>
      <c r="U43" s="139">
        <f>+U27</f>
        <v>-14.122336825999998</v>
      </c>
      <c r="V43" s="40">
        <f t="shared" si="54"/>
        <v>-4.2739260962179202</v>
      </c>
      <c r="W43" s="40">
        <f t="shared" si="54"/>
        <v>-6.2813508627820802</v>
      </c>
      <c r="X43" s="40">
        <f t="shared" si="54"/>
        <v>-6.0758000140000021</v>
      </c>
      <c r="Y43" s="139">
        <f>+Y27</f>
        <v>-13.140070441614728</v>
      </c>
      <c r="Z43" s="40">
        <f t="shared" si="55"/>
        <v>-11.012225087535967</v>
      </c>
      <c r="AA43" s="40">
        <f t="shared" si="55"/>
        <v>-4.2721655680830644</v>
      </c>
      <c r="AB43" s="40">
        <f t="shared" si="55"/>
        <v>11.119178682415559</v>
      </c>
      <c r="AC43" s="139">
        <f>+AC27</f>
        <v>-1.2185096251678804</v>
      </c>
      <c r="AD43" s="40">
        <f t="shared" si="56"/>
        <v>-10.445930018832119</v>
      </c>
      <c r="AE43" s="40">
        <f t="shared" si="56"/>
        <v>-9.6991624943931978</v>
      </c>
      <c r="AF43" s="40">
        <f t="shared" si="56"/>
        <v>-3.1018459878250404</v>
      </c>
      <c r="AG43" s="139">
        <f>+AG27</f>
        <v>-6.2297255942058483</v>
      </c>
      <c r="AH43" s="40">
        <f t="shared" si="57"/>
        <v>-10.507205165794151</v>
      </c>
      <c r="AI43" s="40">
        <f t="shared" si="57"/>
        <v>-9.5154149358613083</v>
      </c>
      <c r="AJ43" s="40">
        <f t="shared" si="57"/>
        <v>-9.7355274693750573</v>
      </c>
      <c r="AK43" s="139">
        <f>+AK27</f>
        <v>-12.49295927209705</v>
      </c>
      <c r="AL43" s="40">
        <f t="shared" si="58"/>
        <v>-11.086092328739102</v>
      </c>
      <c r="AM43" s="40">
        <f t="shared" si="58"/>
        <v>-7.2223731542840781</v>
      </c>
      <c r="AN43" s="40">
        <f t="shared" si="58"/>
        <v>-5.2874763287047628</v>
      </c>
      <c r="AO43" s="139">
        <f>+AO27</f>
        <v>-12.626660366461927</v>
      </c>
      <c r="AP43" s="40">
        <f t="shared" si="58"/>
        <v>-14.233349423063249</v>
      </c>
      <c r="AQ43" s="40">
        <f t="shared" si="58"/>
        <v>-13.814914156585221</v>
      </c>
      <c r="AR43" s="40">
        <f t="shared" si="58"/>
        <v>-8.9824330444280847</v>
      </c>
      <c r="AS43" s="139">
        <f>+AS27</f>
        <v>-35.456562680639244</v>
      </c>
      <c r="AT43" s="40">
        <f t="shared" si="58"/>
        <v>-14.593084097658526</v>
      </c>
      <c r="AU43" s="40">
        <f t="shared" si="58"/>
        <v>-13.413912453481707</v>
      </c>
      <c r="AV43" s="40">
        <f t="shared" si="58"/>
        <v>-0.39382544871156</v>
      </c>
    </row>
    <row r="44" spans="1:48" ht="15" customHeight="1" x14ac:dyDescent="0.2">
      <c r="B44" s="46" t="s">
        <v>73</v>
      </c>
      <c r="C44" s="47">
        <v>44.960999999999999</v>
      </c>
      <c r="D44" s="47">
        <f>+D28-C28</f>
        <v>-108.92090580000001</v>
      </c>
      <c r="E44" s="47">
        <f>+E28</f>
        <v>3.516810292511225</v>
      </c>
      <c r="F44" s="47">
        <f t="shared" si="50"/>
        <v>4.3269540305721215</v>
      </c>
      <c r="G44" s="47">
        <f t="shared" si="50"/>
        <v>28.335244970916659</v>
      </c>
      <c r="H44" s="47">
        <f t="shared" si="50"/>
        <v>8.6838542899999922</v>
      </c>
      <c r="I44" s="47">
        <f>+I28</f>
        <v>44.482766099999999</v>
      </c>
      <c r="J44" s="47">
        <f t="shared" si="51"/>
        <v>25.810314491999996</v>
      </c>
      <c r="K44" s="47">
        <f t="shared" si="51"/>
        <v>26.944665764000007</v>
      </c>
      <c r="L44" s="47">
        <f t="shared" si="51"/>
        <v>21.891364424000002</v>
      </c>
      <c r="M44" s="47">
        <f>+M28</f>
        <v>48.604584798000005</v>
      </c>
      <c r="N44" s="47">
        <f t="shared" si="52"/>
        <v>43.039127501999999</v>
      </c>
      <c r="O44" s="47">
        <f t="shared" si="52"/>
        <v>30.231988563000002</v>
      </c>
      <c r="P44" s="47">
        <f t="shared" si="52"/>
        <v>23.228518176999998</v>
      </c>
      <c r="Q44" s="47">
        <f>+Q28</f>
        <v>51.60731268</v>
      </c>
      <c r="R44" s="47">
        <f t="shared" si="53"/>
        <v>31.591460793000003</v>
      </c>
      <c r="S44" s="47">
        <f t="shared" si="53"/>
        <v>27.068105717999998</v>
      </c>
      <c r="T44" s="47">
        <f t="shared" si="53"/>
        <v>56.737229574000011</v>
      </c>
      <c r="U44" s="47">
        <f>+U28</f>
        <v>82.65459645</v>
      </c>
      <c r="V44" s="47">
        <f t="shared" si="54"/>
        <v>-79.396815478138649</v>
      </c>
      <c r="W44" s="47">
        <f t="shared" si="54"/>
        <v>-0.11288438186135163</v>
      </c>
      <c r="X44" s="47">
        <f t="shared" si="54"/>
        <v>-36.907818772999995</v>
      </c>
      <c r="Y44" s="47">
        <f>+Y28</f>
        <v>64.292423010927436</v>
      </c>
      <c r="Z44" s="47">
        <f t="shared" si="55"/>
        <v>20.755429409434171</v>
      </c>
      <c r="AA44" s="47">
        <f t="shared" si="55"/>
        <v>32.166505984671119</v>
      </c>
      <c r="AB44" s="47">
        <f t="shared" si="55"/>
        <v>-91.644269221405921</v>
      </c>
      <c r="AC44" s="47">
        <f>+AC28</f>
        <v>34.189491677180406</v>
      </c>
      <c r="AD44" s="47">
        <f t="shared" si="56"/>
        <v>9.9809622218195884</v>
      </c>
      <c r="AE44" s="47">
        <f t="shared" si="56"/>
        <v>13.732941929627373</v>
      </c>
      <c r="AF44" s="47">
        <f t="shared" si="56"/>
        <v>10.305202604677788</v>
      </c>
      <c r="AG44" s="47">
        <f>+AG28</f>
        <v>50.623278588187219</v>
      </c>
      <c r="AH44" s="47">
        <f t="shared" si="57"/>
        <v>25.276851887812782</v>
      </c>
      <c r="AI44" s="47">
        <f t="shared" si="57"/>
        <v>-4.2593375455009124</v>
      </c>
      <c r="AJ44" s="47">
        <f t="shared" si="57"/>
        <v>35.847693203161029</v>
      </c>
      <c r="AK44" s="47">
        <f>+AK28</f>
        <v>43.792785961871729</v>
      </c>
      <c r="AL44" s="47">
        <f t="shared" si="58"/>
        <v>62.26453607575607</v>
      </c>
      <c r="AM44" s="47">
        <f t="shared" si="58"/>
        <v>37.641475825239596</v>
      </c>
      <c r="AN44" s="47">
        <f t="shared" si="58"/>
        <v>67.778222304508347</v>
      </c>
      <c r="AO44" s="47">
        <f>+AO28</f>
        <v>63.290806951226003</v>
      </c>
      <c r="AP44" s="47">
        <f t="shared" si="58"/>
        <v>64.068958100168871</v>
      </c>
      <c r="AQ44" s="70">
        <v>446.79700000000003</v>
      </c>
      <c r="AR44" s="47">
        <f t="shared" si="58"/>
        <v>79.834053605666128</v>
      </c>
      <c r="AS44" s="47">
        <f>+AS28</f>
        <v>145.61244848869097</v>
      </c>
      <c r="AT44" s="47">
        <f t="shared" si="58"/>
        <v>64.249465848373262</v>
      </c>
      <c r="AU44" s="47">
        <f t="shared" si="58"/>
        <v>45.090160638972691</v>
      </c>
      <c r="AV44" s="47">
        <f t="shared" si="58"/>
        <v>-5.470660107930911</v>
      </c>
    </row>
    <row r="45" spans="1:48" ht="15" customHeight="1" x14ac:dyDescent="0.2">
      <c r="A45" s="55" t="s">
        <v>164</v>
      </c>
      <c r="B45" s="48" t="s">
        <v>68</v>
      </c>
      <c r="C45" s="49">
        <f t="shared" ref="C45:AV45" si="59">+C44/C34</f>
        <v>8.1798136295660212E-2</v>
      </c>
      <c r="D45" s="49">
        <f t="shared" si="59"/>
        <v>-0.22632749497033516</v>
      </c>
      <c r="E45" s="49">
        <f t="shared" si="59"/>
        <v>8.9986568010124463E-3</v>
      </c>
      <c r="F45" s="49">
        <f t="shared" si="59"/>
        <v>1.2067199539641667E-2</v>
      </c>
      <c r="G45" s="49">
        <f t="shared" si="59"/>
        <v>7.0806515707624015E-2</v>
      </c>
      <c r="H45" s="49">
        <f t="shared" si="59"/>
        <v>2.3418600297230554E-2</v>
      </c>
      <c r="I45" s="49">
        <f t="shared" ref="I45" si="60">+I44/I34</f>
        <v>0.11097766991742702</v>
      </c>
      <c r="J45" s="49">
        <f t="shared" si="59"/>
        <v>7.8976166114813354E-2</v>
      </c>
      <c r="K45" s="49">
        <f t="shared" si="59"/>
        <v>7.6003611379975466E-2</v>
      </c>
      <c r="L45" s="49">
        <f t="shared" si="59"/>
        <v>5.1315128966772691E-2</v>
      </c>
      <c r="M45" s="49">
        <f t="shared" ref="M45" si="61">+M44/M34</f>
        <v>0.11066511849728998</v>
      </c>
      <c r="N45" s="49">
        <f t="shared" si="59"/>
        <v>9.5311815165618027E-2</v>
      </c>
      <c r="O45" s="49">
        <f t="shared" si="59"/>
        <v>6.5492666583873219E-2</v>
      </c>
      <c r="P45" s="49">
        <f t="shared" si="59"/>
        <v>4.0780056450606943E-2</v>
      </c>
      <c r="Q45" s="49">
        <f t="shared" ref="Q45" si="62">+Q44/Q34</f>
        <v>9.2355468371161556E-2</v>
      </c>
      <c r="R45" s="49">
        <f t="shared" si="59"/>
        <v>5.8510672125981225E-2</v>
      </c>
      <c r="S45" s="49">
        <f t="shared" si="59"/>
        <v>5.0987049184467545E-2</v>
      </c>
      <c r="T45" s="49">
        <f t="shared" si="59"/>
        <v>9.8898730524214634E-2</v>
      </c>
      <c r="U45" s="49">
        <f t="shared" ref="U45" si="63">+U44/U34</f>
        <v>0.13901353764182406</v>
      </c>
      <c r="V45" s="49">
        <f t="shared" si="59"/>
        <v>-0.16157236755794713</v>
      </c>
      <c r="W45" s="49">
        <f t="shared" si="59"/>
        <v>-2.4806031188112469E-4</v>
      </c>
      <c r="X45" s="49">
        <f t="shared" si="59"/>
        <v>-7.6944166945641213E-2</v>
      </c>
      <c r="Y45" s="49">
        <f t="shared" ref="Y45" si="64">+Y44/Y34</f>
        <v>0.12396630894150383</v>
      </c>
      <c r="Z45" s="49">
        <f t="shared" si="59"/>
        <v>4.3994859664190054E-2</v>
      </c>
      <c r="AA45" s="49">
        <f t="shared" si="59"/>
        <v>6.5860717552953169E-2</v>
      </c>
      <c r="AB45" s="49">
        <f t="shared" si="59"/>
        <v>-0.16141993556626863</v>
      </c>
      <c r="AC45" s="49">
        <f t="shared" ref="AC45" si="65">+AC44/AC34</f>
        <v>7.6986451513574153E-2</v>
      </c>
      <c r="AD45" s="49">
        <f t="shared" si="59"/>
        <v>2.8301869256793413E-2</v>
      </c>
      <c r="AE45" s="49">
        <f t="shared" si="59"/>
        <v>4.9949571848367104E-2</v>
      </c>
      <c r="AF45" s="49">
        <f t="shared" si="59"/>
        <v>2.8765104020936943E-2</v>
      </c>
      <c r="AG45" s="49">
        <f t="shared" ref="AG45" si="66">+AG44/AG34</f>
        <v>0.10839544482555509</v>
      </c>
      <c r="AH45" s="49">
        <f t="shared" si="59"/>
        <v>6.8584448433172879E-2</v>
      </c>
      <c r="AI45" s="49">
        <f t="shared" si="59"/>
        <v>-1.2937718850654128E-2</v>
      </c>
      <c r="AJ45" s="49">
        <f t="shared" si="59"/>
        <v>8.8541542788203337E-2</v>
      </c>
      <c r="AK45" s="49">
        <f t="shared" ref="AK45" si="67">+AK44/AK34</f>
        <v>9.8790757342048591E-2</v>
      </c>
      <c r="AL45" s="49">
        <f t="shared" si="59"/>
        <v>0.13064685739000592</v>
      </c>
      <c r="AM45" s="49">
        <f t="shared" si="59"/>
        <v>7.6650409648536755E-2</v>
      </c>
      <c r="AN45" s="49">
        <f t="shared" si="59"/>
        <v>0.10534216639957833</v>
      </c>
      <c r="AO45" s="49">
        <f t="shared" ref="AO45" si="68">+AO44/AO34</f>
        <v>0.10640227474029416</v>
      </c>
      <c r="AP45" s="49">
        <f t="shared" si="59"/>
        <v>9.7971872507805743E-2</v>
      </c>
      <c r="AQ45" s="49">
        <f t="shared" si="59"/>
        <v>0.78732002573647564</v>
      </c>
      <c r="AR45" s="49">
        <f t="shared" si="59"/>
        <v>0.11427377761239733</v>
      </c>
      <c r="AS45" s="49">
        <f t="shared" ref="AS45" si="69">+AS44/AS34</f>
        <v>0.17022533950026572</v>
      </c>
      <c r="AT45" s="49">
        <f t="shared" si="59"/>
        <v>0.10319805538943889</v>
      </c>
      <c r="AU45" s="49">
        <f t="shared" si="59"/>
        <v>8.5528974419534928E-2</v>
      </c>
      <c r="AV45" s="49">
        <f t="shared" si="59"/>
        <v>-9.6007349627657817E-3</v>
      </c>
    </row>
    <row r="48" spans="1:48" ht="20.100000000000001" customHeight="1" x14ac:dyDescent="0.2">
      <c r="B48" s="32" t="s">
        <v>151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</row>
    <row r="49" spans="2:48" x14ac:dyDescent="0.2">
      <c r="B49" s="34" t="s">
        <v>244</v>
      </c>
      <c r="C49" s="35" t="s">
        <v>99</v>
      </c>
      <c r="D49" s="35">
        <v>2008</v>
      </c>
      <c r="E49" s="35" t="s">
        <v>100</v>
      </c>
      <c r="F49" s="35" t="s">
        <v>101</v>
      </c>
      <c r="G49" s="35" t="s">
        <v>102</v>
      </c>
      <c r="H49" s="35">
        <v>2009</v>
      </c>
      <c r="I49" s="35" t="s">
        <v>103</v>
      </c>
      <c r="J49" s="35" t="s">
        <v>104</v>
      </c>
      <c r="K49" s="35" t="s">
        <v>105</v>
      </c>
      <c r="L49" s="35">
        <v>2010</v>
      </c>
      <c r="M49" s="35" t="s">
        <v>106</v>
      </c>
      <c r="N49" s="35" t="s">
        <v>107</v>
      </c>
      <c r="O49" s="35" t="s">
        <v>108</v>
      </c>
      <c r="P49" s="35">
        <v>2011</v>
      </c>
      <c r="Q49" s="35" t="s">
        <v>96</v>
      </c>
      <c r="R49" s="35" t="s">
        <v>97</v>
      </c>
      <c r="S49" s="35" t="s">
        <v>98</v>
      </c>
      <c r="T49" s="35">
        <v>2012</v>
      </c>
      <c r="U49" s="35" t="s">
        <v>93</v>
      </c>
      <c r="V49" s="35" t="s">
        <v>94</v>
      </c>
      <c r="W49" s="35" t="s">
        <v>95</v>
      </c>
      <c r="X49" s="35">
        <v>2013</v>
      </c>
      <c r="Y49" s="35" t="s">
        <v>90</v>
      </c>
      <c r="Z49" s="35" t="s">
        <v>91</v>
      </c>
      <c r="AA49" s="35" t="s">
        <v>92</v>
      </c>
      <c r="AB49" s="35">
        <v>2014</v>
      </c>
      <c r="AC49" s="35" t="s">
        <v>87</v>
      </c>
      <c r="AD49" s="35" t="s">
        <v>88</v>
      </c>
      <c r="AE49" s="35" t="s">
        <v>89</v>
      </c>
      <c r="AF49" s="35">
        <v>2015</v>
      </c>
      <c r="AG49" s="35" t="s">
        <v>84</v>
      </c>
      <c r="AH49" s="35" t="s">
        <v>85</v>
      </c>
      <c r="AI49" s="35" t="s">
        <v>86</v>
      </c>
      <c r="AJ49" s="35">
        <v>2016</v>
      </c>
      <c r="AK49" s="35" t="s">
        <v>83</v>
      </c>
      <c r="AL49" s="35" t="s">
        <v>82</v>
      </c>
      <c r="AM49" s="35" t="s">
        <v>81</v>
      </c>
      <c r="AN49" s="35">
        <v>2017</v>
      </c>
      <c r="AO49" s="35" t="s">
        <v>171</v>
      </c>
      <c r="AP49" s="35" t="s">
        <v>174</v>
      </c>
      <c r="AQ49" s="35" t="s">
        <v>176</v>
      </c>
      <c r="AR49" s="35">
        <v>2018</v>
      </c>
      <c r="AS49" s="35" t="s">
        <v>187</v>
      </c>
      <c r="AT49" s="35" t="s">
        <v>189</v>
      </c>
      <c r="AU49" s="35" t="s">
        <v>192</v>
      </c>
      <c r="AV49" s="35">
        <v>2019</v>
      </c>
    </row>
    <row r="50" spans="2:48" ht="15" customHeight="1" x14ac:dyDescent="0.2">
      <c r="B50" s="42" t="s">
        <v>58</v>
      </c>
      <c r="C50" s="10">
        <f>'Finansallar - 2008-2019'!C50/C$13</f>
        <v>739.00020000000006</v>
      </c>
      <c r="D50" s="10">
        <f>'Finansallar - 2008-2019'!D50/D$13</f>
        <v>1016.4213999999999</v>
      </c>
      <c r="E50" s="10">
        <f>'Finansallar - 2008-2019'!E50/E$13</f>
        <v>195.41206457094296</v>
      </c>
      <c r="F50" s="10">
        <f>'Finansallar - 2008-2019'!F50/F$13</f>
        <v>402.96295990431361</v>
      </c>
      <c r="G50" s="10">
        <f>'Finansallar - 2008-2019'!G50/G$13</f>
        <v>641.78172400000005</v>
      </c>
      <c r="H50" s="10">
        <f>'Finansallar - 2008-2019'!H50/H$13</f>
        <v>867.574701</v>
      </c>
      <c r="I50" s="10">
        <f>'Finansallar - 2008-2019'!I50/I$13</f>
        <v>155.79954000000001</v>
      </c>
      <c r="J50" s="10">
        <f>'Finansallar - 2008-2019'!J50/J$13</f>
        <v>339.63425999999998</v>
      </c>
      <c r="K50" s="10">
        <f>'Finansallar - 2008-2019'!K50/K$13</f>
        <v>513.80753800000002</v>
      </c>
      <c r="L50" s="10">
        <f>'Finansallar - 2008-2019'!L50/L$13</f>
        <v>741.13810100000001</v>
      </c>
      <c r="M50" s="10">
        <f>'Finansallar - 2008-2019'!M50/M$13</f>
        <v>183.99734100000001</v>
      </c>
      <c r="N50" s="10">
        <f>'Finansallar - 2008-2019'!N50/N$13</f>
        <v>448.82019000000003</v>
      </c>
      <c r="O50" s="10">
        <f>'Finansallar - 2008-2019'!O50/O$13</f>
        <v>715.65442200000007</v>
      </c>
      <c r="P50" s="10">
        <f>'Finansallar - 2008-2019'!P50/P$13</f>
        <v>1115.633824</v>
      </c>
      <c r="Q50" s="10">
        <f>'Finansallar - 2008-2019'!Q50/Q$13</f>
        <v>293.87094000000002</v>
      </c>
      <c r="R50" s="10">
        <f>'Finansallar - 2008-2019'!R50/R$13</f>
        <v>625.59241799999995</v>
      </c>
      <c r="S50" s="10">
        <f>'Finansallar - 2008-2019'!S50/S$13</f>
        <v>969.79074000000003</v>
      </c>
      <c r="T50" s="10">
        <f>'Finansallar - 2008-2019'!T50/T$13</f>
        <v>1336.3453350000002</v>
      </c>
      <c r="U50" s="10">
        <f>'Finansallar - 2008-2019'!U50/U$13</f>
        <v>311.18346199999996</v>
      </c>
      <c r="V50" s="10">
        <f>'Finansallar - 2008-2019'!V50/V$13</f>
        <v>634.63983636464138</v>
      </c>
      <c r="W50" s="10">
        <f>'Finansallar - 2008-2019'!W50/W$13</f>
        <v>937.88568499999997</v>
      </c>
      <c r="X50" s="10">
        <f>'Finansallar - 2008-2019'!X50/X$13</f>
        <v>1222.612781</v>
      </c>
      <c r="Y50" s="10">
        <f>'Finansallar - 2008-2019'!Y50/Y$13</f>
        <v>274.99322676781338</v>
      </c>
      <c r="Z50" s="10">
        <f>'Finansallar - 2008-2019'!Z50/Z$13</f>
        <v>588.09931111008416</v>
      </c>
      <c r="AA50" s="10">
        <f>'Finansallar - 2008-2019'!AA50/AA$13</f>
        <v>916.36599130354239</v>
      </c>
      <c r="AB50" s="10">
        <f>'Finansallar - 2008-2019'!AB50/AB$13</f>
        <v>1265.9501486393779</v>
      </c>
      <c r="AC50" s="10">
        <f>'Finansallar - 2008-2019'!AC50/AC$13</f>
        <v>197.38716372959985</v>
      </c>
      <c r="AD50" s="10">
        <f>'Finansallar - 2008-2019'!AD50/AD$13</f>
        <v>397.17206099999999</v>
      </c>
      <c r="AE50" s="10">
        <f>'Finansallar - 2008-2019'!AE50/AE$13</f>
        <v>565.09298998569386</v>
      </c>
      <c r="AF50" s="10">
        <f>'Finansallar - 2008-2019'!AF50/AF$13</f>
        <v>791.80611231657542</v>
      </c>
      <c r="AG50" s="10">
        <f>'Finansallar - 2008-2019'!AG50/AG$13</f>
        <v>213.54007276683981</v>
      </c>
      <c r="AH50" s="10">
        <f>'Finansallar - 2008-2019'!AH50/AH$13</f>
        <v>451.66410200000001</v>
      </c>
      <c r="AI50" s="10">
        <f>'Finansallar - 2008-2019'!AI50/AI$13</f>
        <v>673.80804531031345</v>
      </c>
      <c r="AJ50" s="10">
        <f>'Finansallar - 2008-2019'!AJ50/AJ$13</f>
        <v>935.68801563897705</v>
      </c>
      <c r="AK50" s="10">
        <f>'Finansallar - 2008-2019'!AK50/AK$13</f>
        <v>246.69627383015589</v>
      </c>
      <c r="AL50" s="10">
        <f>'Finansallar - 2008-2019'!AL50/AL$13</f>
        <v>536.36263615359167</v>
      </c>
      <c r="AM50" s="10">
        <f>'Finansallar - 2008-2019'!AM50/AM$13</f>
        <v>856.43560774710636</v>
      </c>
      <c r="AN50" s="10">
        <f>'Finansallar - 2008-2019'!AN50/AN$13</f>
        <v>1333.9388119083567</v>
      </c>
      <c r="AO50" s="10">
        <f>'Finansallar - 2008-2019'!AO50/AO$13</f>
        <v>390.69144747204336</v>
      </c>
      <c r="AP50" s="10">
        <f>'Finansallar - 2008-2019'!AP50/AP$13</f>
        <v>880.50636319138414</v>
      </c>
      <c r="AQ50" s="10">
        <f>'Finansallar - 2008-2019'!AQ50/AQ$13</f>
        <v>1323.559104737071</v>
      </c>
      <c r="AR50" s="10">
        <f>'Finansallar - 2008-2019'!AR50/AR$13</f>
        <v>1885.7802115898214</v>
      </c>
      <c r="AS50" s="10">
        <f>'Finansallar - 2008-2019'!AS50/AS$13</f>
        <v>621.70989576535146</v>
      </c>
      <c r="AT50" s="10">
        <f>'Finansallar - 2008-2019'!AT50/AT$13</f>
        <v>1064.7635994803991</v>
      </c>
      <c r="AU50" s="10">
        <f>'Finansallar - 2008-2019'!AU50/AU$13</f>
        <v>1463.6955518477725</v>
      </c>
      <c r="AV50" s="10">
        <f>'Finansallar - 2008-2019'!AV50/AV$13</f>
        <v>1858.3493793200771</v>
      </c>
    </row>
    <row r="51" spans="2:48" ht="15" customHeight="1" x14ac:dyDescent="0.2">
      <c r="B51" s="24" t="s">
        <v>74</v>
      </c>
      <c r="C51" s="3">
        <f>'Finansallar - 2008-2019'!C51/C$13</f>
        <v>665.18219999999997</v>
      </c>
      <c r="D51" s="3">
        <f>'Finansallar - 2008-2019'!D51/D$13</f>
        <v>856.13659999999993</v>
      </c>
      <c r="E51" s="3">
        <f>'Finansallar - 2008-2019'!E51/E$13</f>
        <v>182.66779949022927</v>
      </c>
      <c r="F51" s="3">
        <f>'Finansallar - 2008-2019'!F51/F$13</f>
        <v>295.21552240285104</v>
      </c>
      <c r="G51" s="3">
        <f>'Finansallar - 2008-2019'!G51/G$13</f>
        <v>442.10212200000001</v>
      </c>
      <c r="H51" s="3">
        <f>'Finansallar - 2008-2019'!H51/H$13</f>
        <v>571.26656300000002</v>
      </c>
      <c r="I51" s="3">
        <f>'Finansallar - 2008-2019'!I51/I$13</f>
        <v>227.70702</v>
      </c>
      <c r="J51" s="3">
        <f>'Finansallar - 2008-2019'!J51/J$13</f>
        <v>347.548068</v>
      </c>
      <c r="K51" s="3">
        <f>'Finansallar - 2008-2019'!K51/K$13</f>
        <v>506.54290700000007</v>
      </c>
      <c r="L51" s="3">
        <f>'Finansallar - 2008-2019'!L51/L$13</f>
        <v>685.10245699999996</v>
      </c>
      <c r="M51" s="3">
        <f>'Finansallar - 2008-2019'!M51/M$13</f>
        <v>236.20419900000002</v>
      </c>
      <c r="N51" s="3">
        <f>'Finansallar - 2008-2019'!N51/N$13</f>
        <v>401.50866000000002</v>
      </c>
      <c r="O51" s="3">
        <f>'Finansallar - 2008-2019'!O51/O$13</f>
        <v>570.42230700000005</v>
      </c>
      <c r="P51" s="3">
        <f>'Finansallar - 2008-2019'!P51/P$13</f>
        <v>723.00732800000003</v>
      </c>
      <c r="Q51" s="3">
        <f>'Finansallar - 2008-2019'!Q51/Q$13</f>
        <v>251.96919</v>
      </c>
      <c r="R51" s="3">
        <f>'Finansallar - 2008-2019'!R51/R$13</f>
        <v>444.94006200000001</v>
      </c>
      <c r="S51" s="3">
        <f>'Finansallar - 2008-2019'!S51/S$13</f>
        <v>594.69351700000004</v>
      </c>
      <c r="T51" s="3">
        <f>'Finansallar - 2008-2019'!T51/T$13</f>
        <v>794.55355200000008</v>
      </c>
      <c r="U51" s="3">
        <f>'Finansallar - 2008-2019'!U51/U$13</f>
        <v>267.93233099999998</v>
      </c>
      <c r="V51" s="3">
        <f>'Finansallar - 2008-2019'!V51/V$13</f>
        <v>422.35612803361147</v>
      </c>
      <c r="W51" s="3">
        <f>'Finansallar - 2008-2019'!W51/W$13</f>
        <v>563.69775000000004</v>
      </c>
      <c r="X51" s="3">
        <f>'Finansallar - 2008-2019'!X51/X$13</f>
        <v>747.64846899999998</v>
      </c>
      <c r="Y51" s="3">
        <f>'Finansallar - 2008-2019'!Y51/Y$13</f>
        <v>232.09608958728421</v>
      </c>
      <c r="Z51" s="3">
        <f>'Finansallar - 2008-2019'!Z51/Z$13</f>
        <v>379.12062508668947</v>
      </c>
      <c r="AA51" s="3">
        <f>'Finansallar - 2008-2019'!AA51/AA$13</f>
        <v>529.65121657877637</v>
      </c>
      <c r="AB51" s="3">
        <f>'Finansallar - 2008-2019'!AB51/AB$13</f>
        <v>743.65424193917215</v>
      </c>
      <c r="AC51" s="3">
        <f>'Finansallar - 2008-2019'!AC51/AC$13</f>
        <v>238.4925318464856</v>
      </c>
      <c r="AD51" s="3">
        <f>'Finansallar - 2008-2019'!AD51/AD$13</f>
        <v>381.94127400000002</v>
      </c>
      <c r="AE51" s="3">
        <f>'Finansallar - 2008-2019'!AE51/AE$13</f>
        <v>483.39733453806195</v>
      </c>
      <c r="AF51" s="3">
        <f>'Finansallar - 2008-2019'!AF51/AF$13</f>
        <v>610.12835129270718</v>
      </c>
      <c r="AG51" s="3">
        <f>'Finansallar - 2008-2019'!AG51/AG$13</f>
        <v>248.56336495630558</v>
      </c>
      <c r="AH51" s="3">
        <f>'Finansallar - 2008-2019'!AH51/AH$13</f>
        <v>373.87369899999999</v>
      </c>
      <c r="AI51" s="3">
        <f>'Finansallar - 2008-2019'!AI51/AI$13</f>
        <v>475.44099082193128</v>
      </c>
      <c r="AJ51" s="3">
        <f>'Finansallar - 2008-2019'!AJ51/AJ$13</f>
        <v>613.29975812597252</v>
      </c>
      <c r="AK51" s="3">
        <f>'Finansallar - 2008-2019'!AK51/AK$13</f>
        <v>183.05892547660304</v>
      </c>
      <c r="AL51" s="3">
        <f>'Finansallar - 2008-2019'!AL51/AL$13</f>
        <v>317.96677302233434</v>
      </c>
      <c r="AM51" s="3">
        <f>'Finansallar - 2008-2019'!AM51/AM$13</f>
        <v>460.38290293855766</v>
      </c>
      <c r="AN51" s="3">
        <f>'Finansallar - 2008-2019'!AN51/AN$13</f>
        <v>614.7438606118817</v>
      </c>
      <c r="AO51" s="3">
        <f>'Finansallar - 2008-2019'!AO51/AO$13</f>
        <v>195.22759489683443</v>
      </c>
      <c r="AP51" s="3">
        <f>'Finansallar - 2008-2019'!AP51/AP$13</f>
        <v>353.64610866372942</v>
      </c>
      <c r="AQ51" s="3">
        <f>'Finansallar - 2008-2019'!AQ51/AQ$13</f>
        <v>468.39178617992189</v>
      </c>
      <c r="AR51" s="3">
        <f>'Finansallar - 2008-2019'!AR51/AR$13</f>
        <v>613.76783089377011</v>
      </c>
      <c r="AS51" s="3">
        <f>'Finansallar - 2008-2019'!AS51/AS$13</f>
        <v>231.47755878349426</v>
      </c>
      <c r="AT51" s="3">
        <f>'Finansallar - 2008-2019'!AT51/AT$13</f>
        <v>409.03393419577554</v>
      </c>
      <c r="AU51" s="3">
        <f>'Finansallar - 2008-2019'!AU51/AU$13</f>
        <v>535.22560261280012</v>
      </c>
      <c r="AV51" s="3">
        <f>'Finansallar - 2008-2019'!AV51/AV$13</f>
        <v>702.37057412893364</v>
      </c>
    </row>
    <row r="52" spans="2:48" ht="15" customHeight="1" x14ac:dyDescent="0.2">
      <c r="B52" s="52" t="s">
        <v>184</v>
      </c>
      <c r="C52" s="13">
        <f>'Finansallar - 2008-2019'!C52/C$13</f>
        <v>640.57619999999997</v>
      </c>
      <c r="D52" s="13">
        <f>'Finansallar - 2008-2019'!D52/D$13</f>
        <v>823.77139999999997</v>
      </c>
      <c r="E52" s="13">
        <f>'Finansallar - 2008-2019'!E52/E$13</f>
        <v>175.9922320669983</v>
      </c>
      <c r="F52" s="13">
        <f>'Finansallar - 2008-2019'!F52/F$13</f>
        <v>280.26790101536494</v>
      </c>
      <c r="G52" s="13">
        <f>'Finansallar - 2008-2019'!G52/G$13</f>
        <v>417.22191600000002</v>
      </c>
      <c r="H52" s="13">
        <f>'Finansallar - 2008-2019'!H52/H$13</f>
        <v>536.97762999999998</v>
      </c>
      <c r="I52" s="13">
        <f>'Finansallar - 2008-2019'!I52/I$13</f>
        <v>219.05149</v>
      </c>
      <c r="J52" s="13">
        <f>'Finansallar - 2008-2019'!J52/J$13</f>
        <v>328.42303199999998</v>
      </c>
      <c r="K52" s="13">
        <f>'Finansallar - 2008-2019'!K52/K$13</f>
        <v>477.48438300000004</v>
      </c>
      <c r="L52" s="13">
        <f>'Finansallar - 2008-2019'!L52/L$13</f>
        <v>646.41117899999995</v>
      </c>
      <c r="M52" s="13">
        <f>'Finansallar - 2008-2019'!M52/M$13</f>
        <v>227.927502</v>
      </c>
      <c r="N52" s="13">
        <f>'Finansallar - 2008-2019'!N52/N$13</f>
        <v>383.60700000000003</v>
      </c>
      <c r="O52" s="13">
        <f>'Finansallar - 2008-2019'!O52/O$13</f>
        <v>543.84792000000004</v>
      </c>
      <c r="P52" s="13">
        <f>'Finansallar - 2008-2019'!P52/P$13</f>
        <v>689.49043200000006</v>
      </c>
      <c r="Q52" s="13">
        <f>'Finansallar - 2008-2019'!Q52/Q$13</f>
        <v>244.70622</v>
      </c>
      <c r="R52" s="13">
        <f>'Finansallar - 2008-2019'!R52/R$13</f>
        <v>428.21299199999999</v>
      </c>
      <c r="S52" s="13">
        <f>'Finansallar - 2008-2019'!S52/S$13</f>
        <v>568.49802</v>
      </c>
      <c r="T52" s="13">
        <f>'Finansallar - 2008-2019'!T52/T$13</f>
        <v>757.16936100000009</v>
      </c>
      <c r="U52" s="13">
        <f>'Finansallar - 2008-2019'!U52/U$13</f>
        <v>258.38337999999999</v>
      </c>
      <c r="V52" s="13">
        <f>'Finansallar - 2008-2019'!V52/V$13</f>
        <v>404.11299684891361</v>
      </c>
      <c r="W52" s="13">
        <f>'Finansallar - 2008-2019'!W52/W$13</f>
        <v>535.24443499999995</v>
      </c>
      <c r="X52" s="13">
        <f>'Finansallar - 2008-2019'!X52/X$13</f>
        <v>711.39566200000002</v>
      </c>
      <c r="Y52" s="13">
        <f>'Finansallar - 2008-2019'!Y52/Y$13</f>
        <v>222.61356452632512</v>
      </c>
      <c r="Z52" s="13">
        <f>'Finansallar - 2008-2019'!Z52/Z$13</f>
        <v>363.40098941236334</v>
      </c>
      <c r="AA52" s="13">
        <f>'Finansallar - 2008-2019'!AA52/AA$13</f>
        <v>503.28430012026962</v>
      </c>
      <c r="AB52" s="13">
        <f>'Finansallar - 2008-2019'!AB52/AB$13</f>
        <v>704.77932769265942</v>
      </c>
      <c r="AC52" s="13">
        <f>'Finansallar - 2008-2019'!AC52/AC$13</f>
        <v>227.50396809246664</v>
      </c>
      <c r="AD52" s="13">
        <f>'Finansallar - 2008-2019'!AD52/AD$13</f>
        <v>361.24302499999999</v>
      </c>
      <c r="AE52" s="13">
        <f>'Finansallar - 2008-2019'!AE52/AE$13</f>
        <v>451.02025449890829</v>
      </c>
      <c r="AF52" s="13">
        <f>'Finansallar - 2008-2019'!AF52/AF$13</f>
        <v>564.89279541024609</v>
      </c>
      <c r="AG52" s="13">
        <f>'Finansallar - 2008-2019'!AG52/AG$13</f>
        <v>236.32221428814279</v>
      </c>
      <c r="AH52" s="13">
        <f>'Finansallar - 2008-2019'!AH52/AH$13</f>
        <v>350.57084700000001</v>
      </c>
      <c r="AI52" s="13">
        <f>'Finansallar - 2008-2019'!AI52/AI$13</f>
        <v>441.50261011975795</v>
      </c>
      <c r="AJ52" s="13">
        <f>'Finansallar - 2008-2019'!AJ52/AJ$13</f>
        <v>568.23829561644675</v>
      </c>
      <c r="AK52" s="13">
        <f>'Finansallar - 2008-2019'!AK52/AK$13</f>
        <v>172.49783362218363</v>
      </c>
      <c r="AL52" s="13">
        <f>'Finansallar - 2008-2019'!AL52/AL$13</f>
        <v>296.78732533832073</v>
      </c>
      <c r="AM52" s="13">
        <f>'Finansallar - 2008-2019'!AM52/AM$13</f>
        <v>422.41763134461286</v>
      </c>
      <c r="AN52" s="13">
        <f>'Finansallar - 2008-2019'!AN52/AN$13</f>
        <v>567.70476059816235</v>
      </c>
      <c r="AO52" s="13">
        <f>'Finansallar - 2008-2019'!AO52/AO$13</f>
        <v>187.16858297894709</v>
      </c>
      <c r="AP52" s="13">
        <f>'Finansallar - 2008-2019'!AP52/AP$13</f>
        <v>318.89378365149253</v>
      </c>
      <c r="AQ52" s="13">
        <f>'Finansallar - 2008-2019'!AQ52/AQ$13</f>
        <v>418.73098652759677</v>
      </c>
      <c r="AR52" s="13">
        <f>'Finansallar - 2008-2019'!AR52/AR$13</f>
        <v>551.54137595494899</v>
      </c>
      <c r="AS52" s="13">
        <f>'Finansallar - 2008-2019'!AS52/AS$13</f>
        <v>225.81066214175189</v>
      </c>
      <c r="AT52" s="13">
        <f>'Finansallar - 2008-2019'!AT52/AT$13</f>
        <v>383.11653646991829</v>
      </c>
      <c r="AU52" s="13">
        <f>'Finansallar - 2008-2019'!AU52/AU$13</f>
        <v>492.20774610387195</v>
      </c>
      <c r="AV52" s="13">
        <f>'Finansallar - 2008-2019'!AV52/AV$13</f>
        <v>640.25250387925087</v>
      </c>
    </row>
    <row r="53" spans="2:48" ht="15" customHeight="1" x14ac:dyDescent="0.2">
      <c r="B53" s="52" t="s">
        <v>169</v>
      </c>
      <c r="C53" s="13">
        <f>'Finansallar - 2008-2019'!C53/C$13</f>
        <v>24.606000000000002</v>
      </c>
      <c r="D53" s="13">
        <f>'Finansallar - 2008-2019'!D53/D$13</f>
        <v>32.365199999999994</v>
      </c>
      <c r="E53" s="13">
        <f>'Finansallar - 2008-2019'!E53/E$13</f>
        <v>6.6755674232309703</v>
      </c>
      <c r="F53" s="13">
        <f>'Finansallar - 2008-2019'!F53/F$13</f>
        <v>14.94762138748613</v>
      </c>
      <c r="G53" s="13">
        <f>'Finansallar - 2008-2019'!G53/G$13</f>
        <v>24.880206000000001</v>
      </c>
      <c r="H53" s="13">
        <f>'Finansallar - 2008-2019'!H53/H$13</f>
        <v>34.288933</v>
      </c>
      <c r="I53" s="13">
        <f>'Finansallar - 2008-2019'!I53/I$13</f>
        <v>8.6555300000000006</v>
      </c>
      <c r="J53" s="13">
        <f>'Finansallar - 2008-2019'!J53/J$13</f>
        <v>19.125035999999998</v>
      </c>
      <c r="K53" s="13">
        <f>'Finansallar - 2008-2019'!K53/K$13</f>
        <v>29.058524000000002</v>
      </c>
      <c r="L53" s="13">
        <f>'Finansallar - 2008-2019'!L53/L$13</f>
        <v>38.691277999999997</v>
      </c>
      <c r="M53" s="13">
        <f>'Finansallar - 2008-2019'!M53/M$13</f>
        <v>8.2766970000000004</v>
      </c>
      <c r="N53" s="13">
        <f>'Finansallar - 2008-2019'!N53/N$13</f>
        <v>17.90166</v>
      </c>
      <c r="O53" s="13">
        <f>'Finansallar - 2008-2019'!O53/O$13</f>
        <v>26.574387000000002</v>
      </c>
      <c r="P53" s="13">
        <f>'Finansallar - 2008-2019'!P53/P$13</f>
        <v>33.516896000000003</v>
      </c>
      <c r="Q53" s="13">
        <f>'Finansallar - 2008-2019'!Q53/Q$13</f>
        <v>7.2629700000000001</v>
      </c>
      <c r="R53" s="13">
        <f>'Finansallar - 2008-2019'!R53/R$13</f>
        <v>16.727069999999998</v>
      </c>
      <c r="S53" s="13">
        <f>'Finansallar - 2008-2019'!S53/S$13</f>
        <v>26.195497</v>
      </c>
      <c r="T53" s="13">
        <f>'Finansallar - 2008-2019'!T53/T$13</f>
        <v>37.384191000000008</v>
      </c>
      <c r="U53" s="13">
        <f>'Finansallar - 2008-2019'!U53/U$13</f>
        <v>9.5489509999999989</v>
      </c>
      <c r="V53" s="13">
        <f>'Finansallar - 2008-2019'!V53/V$13</f>
        <v>18.24313118469788</v>
      </c>
      <c r="W53" s="13">
        <f>'Finansallar - 2008-2019'!W53/W$13</f>
        <v>28.453315</v>
      </c>
      <c r="X53" s="13">
        <f>'Finansallar - 2008-2019'!X53/X$13</f>
        <v>36.252806999999997</v>
      </c>
      <c r="Y53" s="13">
        <f>'Finansallar - 2008-2019'!Y53/Y$13</f>
        <v>9.4825250609590821</v>
      </c>
      <c r="Z53" s="13">
        <f>'Finansallar - 2008-2019'!Z53/Z$13</f>
        <v>15.719635674326149</v>
      </c>
      <c r="AA53" s="13">
        <f>'Finansallar - 2008-2019'!AA53/AA$13</f>
        <v>26.366916458506772</v>
      </c>
      <c r="AB53" s="13">
        <f>'Finansallar - 2008-2019'!AB53/AB$13</f>
        <v>38.874914246512688</v>
      </c>
      <c r="AC53" s="13">
        <f>'Finansallar - 2008-2019'!AC53/AC$13</f>
        <v>10.988563754018962</v>
      </c>
      <c r="AD53" s="13">
        <f>'Finansallar - 2008-2019'!AD53/AD$13</f>
        <v>20.698249000000001</v>
      </c>
      <c r="AE53" s="13">
        <f>'Finansallar - 2008-2019'!AE53/AE$13</f>
        <v>32.377080039153682</v>
      </c>
      <c r="AF53" s="13">
        <f>'Finansallar - 2008-2019'!AF53/AF$13</f>
        <v>45.235555882461114</v>
      </c>
      <c r="AG53" s="13">
        <f>'Finansallar - 2008-2019'!AG53/AG$13</f>
        <v>12.241150668162792</v>
      </c>
      <c r="AH53" s="13">
        <f>'Finansallar - 2008-2019'!AH53/AH$13</f>
        <v>23.302852000000001</v>
      </c>
      <c r="AI53" s="13">
        <f>'Finansallar - 2008-2019'!AI53/AI$13</f>
        <v>33.778020403289055</v>
      </c>
      <c r="AJ53" s="13">
        <f>'Finansallar - 2008-2019'!AJ53/AJ$13</f>
        <v>45.392796792684088</v>
      </c>
      <c r="AK53" s="13">
        <f>'Finansallar - 2008-2019'!AK53/AK$13</f>
        <v>10.561091854419407</v>
      </c>
      <c r="AL53" s="13">
        <f>'Finansallar - 2008-2019'!AL53/AL$13</f>
        <v>21.179447684013621</v>
      </c>
      <c r="AM53" s="13">
        <f>'Finansallar - 2008-2019'!AM53/AM$13</f>
        <v>34.505788067675887</v>
      </c>
      <c r="AN53" s="13">
        <f>'Finansallar - 2008-2019'!AN53/AN$13</f>
        <v>46.920016463163734</v>
      </c>
      <c r="AO53" s="13">
        <f>'Finansallar - 2008-2019'!AO53/AO$13</f>
        <v>8.4002730088727997</v>
      </c>
      <c r="AP53" s="13">
        <f>'Finansallar - 2008-2019'!AP53/AP$13</f>
        <v>16.642192853646577</v>
      </c>
      <c r="AQ53" s="13">
        <f>'Finansallar - 2008-2019'!AQ53/AQ$13</f>
        <v>22.164276401564539</v>
      </c>
      <c r="AR53" s="13">
        <f>'Finansallar - 2008-2019'!AR53/AR$13</f>
        <v>29.606012297882021</v>
      </c>
      <c r="AS53" s="13">
        <f>'Finansallar - 2008-2019'!AS53/AS$13</f>
        <v>4.288724384195123</v>
      </c>
      <c r="AT53" s="13">
        <f>'Finansallar - 2008-2019'!AT53/AT$13</f>
        <v>11.566453725287825</v>
      </c>
      <c r="AU53" s="13">
        <f>'Finansallar - 2008-2019'!AU53/AU$13</f>
        <v>16.806595903297914</v>
      </c>
      <c r="AV53" s="13">
        <f>'Finansallar - 2008-2019'!AV53/AV$13</f>
        <v>25.567781069262292</v>
      </c>
    </row>
    <row r="54" spans="2:48" ht="15" customHeight="1" x14ac:dyDescent="0.2">
      <c r="B54" s="52" t="s">
        <v>183</v>
      </c>
      <c r="C54" s="13">
        <f>'Finansallar - 2008-2019'!C54/C$13</f>
        <v>0</v>
      </c>
      <c r="D54" s="13">
        <f>'Finansallar - 2008-2019'!D54/D$13</f>
        <v>0</v>
      </c>
      <c r="E54" s="13">
        <f>'Finansallar - 2008-2019'!E54/E$13</f>
        <v>0</v>
      </c>
      <c r="F54" s="13">
        <f>'Finansallar - 2008-2019'!F54/F$13</f>
        <v>0</v>
      </c>
      <c r="G54" s="13">
        <f>'Finansallar - 2008-2019'!G54/G$13</f>
        <v>0</v>
      </c>
      <c r="H54" s="13">
        <f>'Finansallar - 2008-2019'!H54/H$13</f>
        <v>0</v>
      </c>
      <c r="I54" s="13">
        <f>'Finansallar - 2008-2019'!I54/I$13</f>
        <v>0</v>
      </c>
      <c r="J54" s="13">
        <f>'Finansallar - 2008-2019'!J54/J$13</f>
        <v>0</v>
      </c>
      <c r="K54" s="13">
        <f>'Finansallar - 2008-2019'!K54/K$13</f>
        <v>0</v>
      </c>
      <c r="L54" s="13">
        <f>'Finansallar - 2008-2019'!L54/L$13</f>
        <v>0</v>
      </c>
      <c r="M54" s="13">
        <f>'Finansallar - 2008-2019'!M54/M$13</f>
        <v>0</v>
      </c>
      <c r="N54" s="13">
        <f>'Finansallar - 2008-2019'!N54/N$13</f>
        <v>0</v>
      </c>
      <c r="O54" s="13">
        <f>'Finansallar - 2008-2019'!O54/O$13</f>
        <v>0</v>
      </c>
      <c r="P54" s="13">
        <f>'Finansallar - 2008-2019'!P54/P$13</f>
        <v>0</v>
      </c>
      <c r="Q54" s="13">
        <f>'Finansallar - 2008-2019'!Q54/Q$13</f>
        <v>0</v>
      </c>
      <c r="R54" s="13">
        <f>'Finansallar - 2008-2019'!R54/R$13</f>
        <v>0</v>
      </c>
      <c r="S54" s="13">
        <f>'Finansallar - 2008-2019'!S54/S$13</f>
        <v>0</v>
      </c>
      <c r="T54" s="13">
        <f>'Finansallar - 2008-2019'!T54/T$13</f>
        <v>0</v>
      </c>
      <c r="U54" s="13">
        <f>'Finansallar - 2008-2019'!U54/U$13</f>
        <v>0</v>
      </c>
      <c r="V54" s="13">
        <f>'Finansallar - 2008-2019'!V54/V$13</f>
        <v>0</v>
      </c>
      <c r="W54" s="13">
        <f>'Finansallar - 2008-2019'!W54/W$13</f>
        <v>0</v>
      </c>
      <c r="X54" s="13">
        <f>'Finansallar - 2008-2019'!X54/X$13</f>
        <v>0</v>
      </c>
      <c r="Y54" s="13">
        <f>'Finansallar - 2008-2019'!Y54/Y$13</f>
        <v>0</v>
      </c>
      <c r="Z54" s="13">
        <f>'Finansallar - 2008-2019'!Z54/Z$13</f>
        <v>0</v>
      </c>
      <c r="AA54" s="13">
        <f>'Finansallar - 2008-2019'!AA54/AA$13</f>
        <v>0</v>
      </c>
      <c r="AB54" s="13">
        <f>'Finansallar - 2008-2019'!AB54/AB$13</f>
        <v>0</v>
      </c>
      <c r="AC54" s="13">
        <f>'Finansallar - 2008-2019'!AC54/AC$13</f>
        <v>0</v>
      </c>
      <c r="AD54" s="13">
        <f>'Finansallar - 2008-2019'!AD54/AD$13</f>
        <v>0</v>
      </c>
      <c r="AE54" s="13">
        <f>'Finansallar - 2008-2019'!AE54/AE$13</f>
        <v>0</v>
      </c>
      <c r="AF54" s="13">
        <f>'Finansallar - 2008-2019'!AF54/AF$13</f>
        <v>0</v>
      </c>
      <c r="AG54" s="13">
        <f>'Finansallar - 2008-2019'!AG54/AG$13</f>
        <v>0</v>
      </c>
      <c r="AH54" s="13">
        <f>'Finansallar - 2008-2019'!AH54/AH$13</f>
        <v>0</v>
      </c>
      <c r="AI54" s="13">
        <f>'Finansallar - 2008-2019'!AI54/AI$13</f>
        <v>0</v>
      </c>
      <c r="AJ54" s="13">
        <f>'Finansallar - 2008-2019'!AJ54/AJ$13</f>
        <v>0</v>
      </c>
      <c r="AK54" s="13">
        <f>'Finansallar - 2008-2019'!AK54/AK$13</f>
        <v>0</v>
      </c>
      <c r="AL54" s="13">
        <f>'Finansallar - 2008-2019'!AL54/AL$13</f>
        <v>2.7505776213004705</v>
      </c>
      <c r="AM54" s="13">
        <f>'Finansallar - 2008-2019'!AM54/AM$13</f>
        <v>3.6175422974176334</v>
      </c>
      <c r="AN54" s="13">
        <f>'Finansallar - 2008-2019'!AN54/AN$13</f>
        <v>9.3291260803951275</v>
      </c>
      <c r="AO54" s="13">
        <f>'Finansallar - 2008-2019'!AO54/AO$13</f>
        <v>0.26250853152727499</v>
      </c>
      <c r="AP54" s="13">
        <f>'Finansallar - 2008-2019'!AP54/AP$13</f>
        <v>3.1815956926089046</v>
      </c>
      <c r="AQ54" s="13">
        <f>'Finansallar - 2008-2019'!AQ54/AQ$13</f>
        <v>27.596697088222516</v>
      </c>
      <c r="AR54" s="13">
        <f>'Finansallar - 2008-2019'!AR54/AR$13</f>
        <v>32.711538063394123</v>
      </c>
      <c r="AS54" s="13">
        <f>'Finansallar - 2008-2019'!AS54/AS$13</f>
        <v>1.4917302205896079</v>
      </c>
      <c r="AT54" s="13">
        <f>'Finansallar - 2008-2019'!AT54/AT$13</f>
        <v>14.413580796127905</v>
      </c>
      <c r="AU54" s="13">
        <f>'Finansallar - 2008-2019'!AU54/AU$13</f>
        <v>26.092513046256467</v>
      </c>
      <c r="AV54" s="13">
        <f>'Finansallar - 2008-2019'!AV54/AV$13</f>
        <v>36.500211595429612</v>
      </c>
    </row>
    <row r="55" spans="2:48" ht="15" customHeight="1" x14ac:dyDescent="0.2">
      <c r="B55" s="24" t="s">
        <v>75</v>
      </c>
      <c r="C55" s="3">
        <f>'Finansallar - 2008-2019'!C55/C$13</f>
        <v>20.504999999999999</v>
      </c>
      <c r="D55" s="3">
        <f>'Finansallar - 2008-2019'!D55/D$13</f>
        <v>23.888599999999997</v>
      </c>
      <c r="E55" s="3">
        <f>'Finansallar - 2008-2019'!E55/E$13</f>
        <v>3.64121859448962</v>
      </c>
      <c r="F55" s="3">
        <f>'Finansallar - 2008-2019'!F55/F$13</f>
        <v>29.89524277497226</v>
      </c>
      <c r="G55" s="3">
        <f>'Finansallar - 2008-2019'!G55/G$13</f>
        <v>33.811562000000002</v>
      </c>
      <c r="H55" s="3">
        <f>'Finansallar - 2008-2019'!H55/H$13</f>
        <v>40.758543000000003</v>
      </c>
      <c r="I55" s="3">
        <f>'Finansallar - 2008-2019'!I55/I$13</f>
        <v>6.6581000000000001</v>
      </c>
      <c r="J55" s="3">
        <f>'Finansallar - 2008-2019'!J55/J$13</f>
        <v>17.146584000000001</v>
      </c>
      <c r="K55" s="3">
        <f>'Finansallar - 2008-2019'!K55/K$13</f>
        <v>27.077261000000004</v>
      </c>
      <c r="L55" s="3">
        <f>'Finansallar - 2008-2019'!L55/L$13</f>
        <v>36.022914</v>
      </c>
      <c r="M55" s="3">
        <f>'Finansallar - 2008-2019'!M55/M$13</f>
        <v>6.3666900000000002</v>
      </c>
      <c r="N55" s="3">
        <f>'Finansallar - 2008-2019'!N55/N$13</f>
        <v>15.344280000000001</v>
      </c>
      <c r="O55" s="3">
        <f>'Finansallar - 2008-2019'!O55/O$13</f>
        <v>27.192396000000002</v>
      </c>
      <c r="P55" s="3">
        <f>'Finansallar - 2008-2019'!P55/P$13</f>
        <v>34.713928000000003</v>
      </c>
      <c r="Q55" s="3">
        <f>'Finansallar - 2008-2019'!Q55/Q$13</f>
        <v>3.3521399999999999</v>
      </c>
      <c r="R55" s="3">
        <f>'Finansallar - 2008-2019'!R55/R$13</f>
        <v>6.1332589999999998</v>
      </c>
      <c r="S55" s="3">
        <f>'Finansallar - 2008-2019'!S55/S$13</f>
        <v>32.883709000000003</v>
      </c>
      <c r="T55" s="3">
        <f>'Finansallar - 2008-2019'!T55/T$13</f>
        <v>34.036353000000005</v>
      </c>
      <c r="U55" s="3">
        <f>'Finansallar - 2008-2019'!U55/U$13</f>
        <v>5.6170299999999997</v>
      </c>
      <c r="V55" s="3">
        <f>'Finansallar - 2008-2019'!V55/V$13</f>
        <v>9.397976670904967</v>
      </c>
      <c r="W55" s="3">
        <f>'Finansallar - 2008-2019'!W55/W$13</f>
        <v>12.347664999999999</v>
      </c>
      <c r="X55" s="3">
        <f>'Finansallar - 2008-2019'!X55/X$13</f>
        <v>15.762089999999999</v>
      </c>
      <c r="Y55" s="3">
        <f>'Finansallar - 2008-2019'!Y55/Y$13</f>
        <v>3.1608416869863607</v>
      </c>
      <c r="Z55" s="3">
        <f>'Finansallar - 2008-2019'!Z55/Z$13</f>
        <v>6.0104489343011744</v>
      </c>
      <c r="AA55" s="3">
        <f>'Finansallar - 2008-2019'!AA55/AA$13</f>
        <v>9.25154963456378</v>
      </c>
      <c r="AB55" s="3">
        <f>'Finansallar - 2008-2019'!AB55/AB$13</f>
        <v>11.891150240109765</v>
      </c>
      <c r="AC55" s="3">
        <f>'Finansallar - 2008-2019'!AC55/AC$13</f>
        <v>2.8488868991901009</v>
      </c>
      <c r="AD55" s="3">
        <f>'Finansallar - 2008-2019'!AD55/AD$13</f>
        <v>5.4674620000000003</v>
      </c>
      <c r="AE55" s="3">
        <f>'Finansallar - 2008-2019'!AE55/AE$13</f>
        <v>7.9060311723514802</v>
      </c>
      <c r="AF55" s="3">
        <f>'Finansallar - 2008-2019'!AF55/AF$13</f>
        <v>10.297524916332611</v>
      </c>
      <c r="AG55" s="3">
        <f>'Finansallar - 2008-2019'!AG55/AG$13</f>
        <v>2.3802237410316542</v>
      </c>
      <c r="AH55" s="3">
        <f>'Finansallar - 2008-2019'!AH55/AH$13</f>
        <v>4.7976460000000003</v>
      </c>
      <c r="AI55" s="3">
        <f>'Finansallar - 2008-2019'!AI55/AI$13</f>
        <v>8.0487222354907964</v>
      </c>
      <c r="AJ55" s="3">
        <f>'Finansallar - 2008-2019'!AJ55/AJ$13</f>
        <v>10.934031344223174</v>
      </c>
      <c r="AK55" s="3">
        <f>'Finansallar - 2008-2019'!AK55/AK$13</f>
        <v>11.373483535528592</v>
      </c>
      <c r="AL55" s="3">
        <f>'Finansallar - 2008-2019'!AL55/AL$13</f>
        <v>61.062823192870439</v>
      </c>
      <c r="AM55" s="3">
        <f>'Finansallar - 2008-2019'!AM55/AM$13</f>
        <v>87.023319234194162</v>
      </c>
      <c r="AN55" s="3">
        <f>'Finansallar - 2008-2019'!AN55/AN$13</f>
        <v>96.239264645356144</v>
      </c>
      <c r="AO55" s="3">
        <f>'Finansallar - 2008-2019'!AO55/AO$13</f>
        <v>6.3789573161127828</v>
      </c>
      <c r="AP55" s="3">
        <f>'Finansallar - 2008-2019'!AP55/AP$13</f>
        <v>9.8458149779735553</v>
      </c>
      <c r="AQ55" s="3">
        <f>'Finansallar - 2008-2019'!AQ55/AQ$13</f>
        <v>17.708604954367669</v>
      </c>
      <c r="AR55" s="3">
        <f>'Finansallar - 2008-2019'!AR55/AR$13</f>
        <v>27.838968137305638</v>
      </c>
      <c r="AS55" s="3">
        <f>'Finansallar - 2008-2019'!AS55/AS$13</f>
        <v>8.5224412165060031</v>
      </c>
      <c r="AT55" s="3">
        <f>'Finansallar - 2008-2019'!AT55/AT$13</f>
        <v>11.87643468512554</v>
      </c>
      <c r="AU55" s="3">
        <f>'Finansallar - 2008-2019'!AU55/AU$13</f>
        <v>18.297419148709533</v>
      </c>
      <c r="AV55" s="73"/>
    </row>
    <row r="56" spans="2:48" ht="15" customHeight="1" x14ac:dyDescent="0.2">
      <c r="B56" s="24" t="s">
        <v>76</v>
      </c>
      <c r="C56" s="3">
        <f>'Finansallar - 2008-2019'!C56/C$13</f>
        <v>34.448399999999999</v>
      </c>
      <c r="D56" s="3">
        <f>'Finansallar - 2008-2019'!D56/D$13</f>
        <v>44.694799999999994</v>
      </c>
      <c r="E56" s="3">
        <f>'Finansallar - 2008-2019'!E56/E$13</f>
        <v>9.1030464862240503</v>
      </c>
      <c r="F56" s="3">
        <f>'Finansallar - 2008-2019'!F56/F$13</f>
        <v>21.17579696560535</v>
      </c>
      <c r="G56" s="3">
        <f>'Finansallar - 2008-2019'!G56/G$13</f>
        <v>31.8977</v>
      </c>
      <c r="H56" s="3">
        <f>'Finansallar - 2008-2019'!H56/H$13</f>
        <v>40.758543000000003</v>
      </c>
      <c r="I56" s="3">
        <f>'Finansallar - 2008-2019'!I56/I$13</f>
        <v>10.65296</v>
      </c>
      <c r="J56" s="3">
        <f>'Finansallar - 2008-2019'!J56/J$13</f>
        <v>23.741423999999999</v>
      </c>
      <c r="K56" s="3">
        <f>'Finansallar - 2008-2019'!K56/K$13</f>
        <v>35.002313000000001</v>
      </c>
      <c r="L56" s="3">
        <f>'Finansallar - 2008-2019'!L56/L$13</f>
        <v>47.363461000000001</v>
      </c>
      <c r="M56" s="3">
        <f>'Finansallar - 2008-2019'!M56/M$13</f>
        <v>13.370049000000002</v>
      </c>
      <c r="N56" s="3">
        <f>'Finansallar - 2008-2019'!N56/N$13</f>
        <v>25.573800000000002</v>
      </c>
      <c r="O56" s="3">
        <f>'Finansallar - 2008-2019'!O56/O$13</f>
        <v>38.316558000000001</v>
      </c>
      <c r="P56" s="3">
        <f>'Finansallar - 2008-2019'!P56/P$13</f>
        <v>48.479796</v>
      </c>
      <c r="Q56" s="3">
        <f>'Finansallar - 2008-2019'!Q56/Q$13</f>
        <v>10.056419999999999</v>
      </c>
      <c r="R56" s="3">
        <f>'Finansallar - 2008-2019'!R56/R$13</f>
        <v>21.745190999999998</v>
      </c>
      <c r="S56" s="3">
        <f>'Finansallar - 2008-2019'!S56/S$13</f>
        <v>32.326357999999999</v>
      </c>
      <c r="T56" s="3">
        <f>'Finansallar - 2008-2019'!T56/T$13</f>
        <v>37.942164000000005</v>
      </c>
      <c r="U56" s="3">
        <f>'Finansallar - 2008-2019'!U56/U$13</f>
        <v>10.110653999999998</v>
      </c>
      <c r="V56" s="3">
        <f>'Finansallar - 2008-2019'!V56/V$13</f>
        <v>19.901597656034049</v>
      </c>
      <c r="W56" s="3">
        <f>'Finansallar - 2008-2019'!W56/W$13</f>
        <v>26.842749999999999</v>
      </c>
      <c r="X56" s="3">
        <f>'Finansallar - 2008-2019'!X56/X$13</f>
        <v>35.202000999999996</v>
      </c>
      <c r="Y56" s="3">
        <f>'Finansallar - 2008-2019'!Y56/Y$13</f>
        <v>8.5794274361058367</v>
      </c>
      <c r="Z56" s="3">
        <f>'Finansallar - 2008-2019'!Z56/Z$13</f>
        <v>16.644320125757098</v>
      </c>
      <c r="AA56" s="3">
        <f>'Finansallar - 2008-2019'!AA56/AA$13</f>
        <v>23.591451568137639</v>
      </c>
      <c r="AB56" s="3">
        <f>'Finansallar - 2008-2019'!AB56/AB$13</f>
        <v>25.154356277155269</v>
      </c>
      <c r="AC56" s="3">
        <f>'Finansallar - 2008-2019'!AC56/AC$13</f>
        <v>5.2907899556387594</v>
      </c>
      <c r="AD56" s="3">
        <f>'Finansallar - 2008-2019'!AD56/AD$13</f>
        <v>12.106522999999999</v>
      </c>
      <c r="AE56" s="3">
        <f>'Finansallar - 2008-2019'!AE56/AE$13</f>
        <v>15.435584669829082</v>
      </c>
      <c r="AF56" s="3">
        <f>'Finansallar - 2008-2019'!AF56/AF$13</f>
        <v>17.65289985657019</v>
      </c>
      <c r="AG56" s="3">
        <f>'Finansallar - 2008-2019'!AG56/AG$13</f>
        <v>2.3802237410316542</v>
      </c>
      <c r="AH56" s="3">
        <f>'Finansallar - 2008-2019'!AH56/AH$13</f>
        <v>4.7976460000000003</v>
      </c>
      <c r="AI56" s="3">
        <f>'Finansallar - 2008-2019'!AI56/AI$13</f>
        <v>7.4956498004025987</v>
      </c>
      <c r="AJ56" s="3">
        <f>'Finansallar - 2008-2019'!AJ56/AJ$13</f>
        <v>9.9400284947483399</v>
      </c>
      <c r="AK56" s="3">
        <f>'Finansallar - 2008-2019'!AK56/AK$13</f>
        <v>2.1663778162911602</v>
      </c>
      <c r="AL56" s="3">
        <f>'Finansallar - 2008-2019'!AL56/AL$13</f>
        <v>4.6759819562107996</v>
      </c>
      <c r="AM56" s="3">
        <f>'Finansallar - 2008-2019'!AM56/AM$13</f>
        <v>7.1129229741763167</v>
      </c>
      <c r="AN56" s="3">
        <f>'Finansallar - 2008-2019'!AN56/AN$13</f>
        <v>9.4429962957881859</v>
      </c>
      <c r="AO56" s="3">
        <f>'Finansallar - 2008-2019'!AO56/AO$13</f>
        <v>2.5200819026618397</v>
      </c>
      <c r="AP56" s="3">
        <f>'Finansallar - 2008-2019'!AP56/AP$13</f>
        <v>4.7799804209495784</v>
      </c>
      <c r="AQ56" s="3">
        <f>'Finansallar - 2008-2019'!AQ56/AQ$13</f>
        <v>6.6097348978704922</v>
      </c>
      <c r="AR56" s="3">
        <f>'Finansallar - 2008-2019'!AR56/AR$13</f>
        <v>15.342125421833911</v>
      </c>
      <c r="AS56" s="3">
        <f>'Finansallar - 2008-2019'!AS56/AS$13</f>
        <v>2.222491562400942</v>
      </c>
      <c r="AT56" s="3">
        <f>'Finansallar - 2008-2019'!AT56/AT$13</f>
        <v>4.1964873569763501</v>
      </c>
      <c r="AU56" s="3">
        <f>'Finansallar - 2008-2019'!AU56/AU$13</f>
        <v>6.2645106322553019</v>
      </c>
      <c r="AV56" s="3">
        <f>'Finansallar - 2008-2019'!AV56/AV$13</f>
        <v>14.282515164339145</v>
      </c>
    </row>
    <row r="57" spans="2:48" ht="15" customHeight="1" x14ac:dyDescent="0.2">
      <c r="B57" s="43" t="s">
        <v>77</v>
      </c>
      <c r="C57" s="44">
        <f>'Finansallar - 2008-2019'!C57/C$13</f>
        <v>1459.1358</v>
      </c>
      <c r="D57" s="44">
        <f>'Finansallar - 2008-2019'!D57/D$13</f>
        <v>1940.3707999999999</v>
      </c>
      <c r="E57" s="44">
        <f>'Finansallar - 2008-2019'!E57/E$13</f>
        <v>390.82412914188592</v>
      </c>
      <c r="F57" s="44">
        <f>'Finansallar - 2008-2019'!F57/F$13</f>
        <v>749.24952204774229</v>
      </c>
      <c r="G57" s="44">
        <f>'Finansallar - 2008-2019'!G57/G$13</f>
        <v>1149.593108</v>
      </c>
      <c r="H57" s="44">
        <f>'Finansallar - 2008-2019'!H57/H$13</f>
        <v>1520.35835</v>
      </c>
      <c r="I57" s="44">
        <f>'Finansallar - 2008-2019'!I57/I$13</f>
        <v>400.81761999999998</v>
      </c>
      <c r="J57" s="44">
        <f>'Finansallar - 2008-2019'!J57/J$13</f>
        <v>727.41085199999998</v>
      </c>
      <c r="K57" s="44">
        <f>'Finansallar - 2008-2019'!K57/K$13</f>
        <v>1082.4300190000001</v>
      </c>
      <c r="L57" s="44">
        <f>'Finansallar - 2008-2019'!L57/L$13</f>
        <v>1508.959842</v>
      </c>
      <c r="M57" s="44">
        <f>'Finansallar - 2008-2019'!M57/M$13</f>
        <v>439.30161000000004</v>
      </c>
      <c r="N57" s="44">
        <f>'Finansallar - 2008-2019'!N57/N$13</f>
        <v>890.60758499999997</v>
      </c>
      <c r="O57" s="44">
        <f>'Finansallar - 2008-2019'!O57/O$13</f>
        <v>1352.203692</v>
      </c>
      <c r="P57" s="44">
        <f>'Finansallar - 2008-2019'!P57/P$13</f>
        <v>1921.8348760000001</v>
      </c>
      <c r="Q57" s="44">
        <f>'Finansallar - 2008-2019'!Q57/Q$13</f>
        <v>558.69000000000005</v>
      </c>
      <c r="R57" s="44">
        <f>'Finansallar - 2008-2019'!R57/R$13</f>
        <v>1098.9684990000001</v>
      </c>
      <c r="S57" s="44">
        <f>'Finansallar - 2008-2019'!S57/S$13</f>
        <v>1629.6943240000001</v>
      </c>
      <c r="T57" s="44">
        <f>'Finansallar - 2008-2019'!T57/T$13</f>
        <v>2203.4353770000002</v>
      </c>
      <c r="U57" s="44">
        <f>'Finansallar - 2008-2019'!U57/U$13</f>
        <v>594.84347699999989</v>
      </c>
      <c r="V57" s="44">
        <f>'Finansallar - 2008-2019'!V57/V$13</f>
        <v>1085.7427165680799</v>
      </c>
      <c r="W57" s="44">
        <f>'Finansallar - 2008-2019'!W57/W$13</f>
        <v>1541.3107050000001</v>
      </c>
      <c r="X57" s="44">
        <f>'Finansallar - 2008-2019'!X57/X$13</f>
        <v>2020.699938</v>
      </c>
      <c r="Y57" s="44">
        <f>'Finansallar - 2008-2019'!Y57/Y$13</f>
        <v>518.82958547818976</v>
      </c>
      <c r="Z57" s="44">
        <f>'Finansallar - 2008-2019'!Z57/Z$13</f>
        <v>990.3370474825474</v>
      </c>
      <c r="AA57" s="44">
        <f>'Finansallar - 2008-2019'!AA57/AA$13</f>
        <v>1478.8602090850202</v>
      </c>
      <c r="AB57" s="44">
        <f>'Finansallar - 2008-2019'!AB57/AB$13</f>
        <v>2046.649897095815</v>
      </c>
      <c r="AC57" s="44">
        <f>'Finansallar - 2008-2019'!AC57/AC$13</f>
        <v>444.0193724309143</v>
      </c>
      <c r="AD57" s="44">
        <f>'Finansallar - 2008-2019'!AD57/AD$13</f>
        <v>796.68732</v>
      </c>
      <c r="AE57" s="44">
        <f>'Finansallar - 2008-2019'!AE57/AE$13</f>
        <v>1071.8319403659364</v>
      </c>
      <c r="AF57" s="44">
        <f>'Finansallar - 2008-2019'!AF57/AF$13</f>
        <v>1429.8848883821854</v>
      </c>
      <c r="AG57" s="44">
        <f>'Finansallar - 2008-2019'!AG57/AG$13</f>
        <v>466.8638852052087</v>
      </c>
      <c r="AH57" s="44">
        <f>'Finansallar - 2008-2019'!AH57/AH$13</f>
        <v>835.47578199999998</v>
      </c>
      <c r="AI57" s="44">
        <f>'Finansallar - 2008-2019'!AI57/AI$13</f>
        <v>1164.7934081681381</v>
      </c>
      <c r="AJ57" s="44">
        <f>'Finansallar - 2008-2019'!AJ57/AJ$13</f>
        <v>1569.5304993207628</v>
      </c>
      <c r="AK57" s="44">
        <f>'Finansallar - 2008-2019'!AK57/AK$13</f>
        <v>443.29506065857868</v>
      </c>
      <c r="AL57" s="44">
        <f>'Finansallar - 2008-2019'!AL57/AL$13</f>
        <v>919.79315656287724</v>
      </c>
      <c r="AM57" s="44">
        <f>'Finansallar - 2008-2019'!AM57/AM$13</f>
        <v>1410.9547528940345</v>
      </c>
      <c r="AN57" s="44">
        <f>'Finansallar - 2008-2019'!AN57/AN$13</f>
        <v>2054.3649334613829</v>
      </c>
      <c r="AO57" s="44">
        <f>'Finansallar - 2008-2019'!AO57/AO$13</f>
        <v>594.81808158765239</v>
      </c>
      <c r="AP57" s="44">
        <f>'Finansallar - 2008-2019'!AP57/AP$13</f>
        <v>1248.7782672540368</v>
      </c>
      <c r="AQ57" s="44">
        <f>'Finansallar - 2008-2019'!AQ57/AQ$13</f>
        <v>1816.2692307692309</v>
      </c>
      <c r="AR57" s="44">
        <f>'Finansallar - 2008-2019'!AR57/AR$13</f>
        <v>2514.8901679054256</v>
      </c>
      <c r="AS57" s="44">
        <f>'Finansallar - 2008-2019'!AS57/AS$13</f>
        <v>855.40994611124665</v>
      </c>
      <c r="AT57" s="44">
        <f>'Finansallar - 2008-2019'!AT57/AT$13</f>
        <v>1477.9940210331511</v>
      </c>
      <c r="AU57" s="44">
        <f>'Finansallar - 2008-2019'!AU57/AU$13</f>
        <v>2005.1856650928282</v>
      </c>
      <c r="AV57" s="44">
        <f>'Finansallar - 2008-2019'!AV57/AV$13</f>
        <v>2575.0024686133497</v>
      </c>
    </row>
    <row r="58" spans="2:48" ht="15" customHeight="1" x14ac:dyDescent="0.2">
      <c r="B58" s="24" t="s">
        <v>58</v>
      </c>
      <c r="C58" s="3">
        <f>'Finansallar - 2008-2019'!C58/C$13</f>
        <v>82.840199999999996</v>
      </c>
      <c r="D58" s="3">
        <f>'Finansallar - 2008-2019'!D58/D$13</f>
        <v>86.307199999999995</v>
      </c>
      <c r="E58" s="3">
        <f>'Finansallar - 2008-2019'!E58/E$13</f>
        <v>30.950358053161771</v>
      </c>
      <c r="F58" s="3">
        <f>'Finansallar - 2008-2019'!F58/F$13</f>
        <v>47.956951951518</v>
      </c>
      <c r="G58" s="3">
        <f>'Finansallar - 2008-2019'!G58/G$13</f>
        <v>72.726756000000009</v>
      </c>
      <c r="H58" s="3">
        <f>'Finansallar - 2008-2019'!H58/H$13</f>
        <v>97.044150000000002</v>
      </c>
      <c r="I58" s="3">
        <f>'Finansallar - 2008-2019'!I58/I$13</f>
        <v>25.96659</v>
      </c>
      <c r="J58" s="3">
        <f>'Finansallar - 2008-2019'!J58/J$13</f>
        <v>50.120784</v>
      </c>
      <c r="K58" s="3">
        <f>'Finansallar - 2008-2019'!K58/K$13</f>
        <v>66.042100000000005</v>
      </c>
      <c r="L58" s="3">
        <f>'Finansallar - 2008-2019'!L58/L$13</f>
        <v>98.062376999999998</v>
      </c>
      <c r="M58" s="3">
        <f>'Finansallar - 2008-2019'!M58/M$13</f>
        <v>7.640028</v>
      </c>
      <c r="N58" s="3">
        <f>'Finansallar - 2008-2019'!N58/N$13</f>
        <v>37.082010000000004</v>
      </c>
      <c r="O58" s="3">
        <f>'Finansallar - 2008-2019'!O58/O$13</f>
        <v>63.654927000000008</v>
      </c>
      <c r="P58" s="3">
        <f>'Finansallar - 2008-2019'!P58/P$13</f>
        <v>103.54326800000001</v>
      </c>
      <c r="Q58" s="3">
        <f>'Finansallar - 2008-2019'!Q58/Q$13</f>
        <v>31.845330000000001</v>
      </c>
      <c r="R58" s="3">
        <f>'Finansallar - 2008-2019'!R58/R$13</f>
        <v>54.641762</v>
      </c>
      <c r="S58" s="3">
        <f>'Finansallar - 2008-2019'!S58/S$13</f>
        <v>81.930597000000006</v>
      </c>
      <c r="T58" s="3">
        <f>'Finansallar - 2008-2019'!T58/T$13</f>
        <v>79.232166000000007</v>
      </c>
      <c r="U58" s="3">
        <f>'Finansallar - 2008-2019'!U58/U$13</f>
        <v>32.017070999999994</v>
      </c>
      <c r="V58" s="3">
        <f>'Finansallar - 2008-2019'!V58/V$13</f>
        <v>-28.193930012714905</v>
      </c>
      <c r="W58" s="3">
        <f>'Finansallar - 2008-2019'!W58/W$13</f>
        <v>-14.495085</v>
      </c>
      <c r="X58" s="3">
        <f>'Finansallar - 2008-2019'!X58/X$13</f>
        <v>-52.540299999999995</v>
      </c>
      <c r="Y58" s="3">
        <f>'Finansallar - 2008-2019'!Y58/Y$13</f>
        <v>23.480538246184395</v>
      </c>
      <c r="Z58" s="3">
        <f>'Finansallar - 2008-2019'!Z58/Z$13</f>
        <v>49.932960377271293</v>
      </c>
      <c r="AA58" s="3">
        <f>'Finansallar - 2008-2019'!AA58/AA$13</f>
        <v>67.998889814043778</v>
      </c>
      <c r="AB58" s="3">
        <f>'Finansallar - 2008-2019'!AB58/AB$13</f>
        <v>-17.37937342785273</v>
      </c>
      <c r="AC58" s="3">
        <f>'Finansallar - 2008-2019'!AC58/AC$13</f>
        <v>7.3257091693459744</v>
      </c>
      <c r="AD58" s="3">
        <f>'Finansallar - 2008-2019'!AD58/AD$13</f>
        <v>30.852107</v>
      </c>
      <c r="AE58" s="3">
        <f>'Finansallar - 2008-2019'!AE58/AE$13</f>
        <v>51.577441457721562</v>
      </c>
      <c r="AF58" s="3">
        <f>'Finansallar - 2008-2019'!AF58/AF$13</f>
        <v>60.314074509948156</v>
      </c>
      <c r="AG58" s="3">
        <f>'Finansallar - 2008-2019'!AG58/AG$13</f>
        <v>24.142269373321064</v>
      </c>
      <c r="AH58" s="3">
        <f>'Finansallar - 2008-2019'!AH58/AH$13</f>
        <v>45.234948000000003</v>
      </c>
      <c r="AI58" s="3">
        <f>'Finansallar - 2008-2019'!AI58/AI$13</f>
        <v>47.425705414718976</v>
      </c>
      <c r="AJ58" s="3">
        <f>'Finansallar - 2008-2019'!AJ58/AJ$13</f>
        <v>86.478247904310564</v>
      </c>
      <c r="AK58" s="3">
        <f>'Finansallar - 2008-2019'!AK58/AK$13</f>
        <v>17.331022530329282</v>
      </c>
      <c r="AL58" s="3">
        <f>'Finansallar - 2008-2019'!AL58/AL$13</f>
        <v>64.088458576300951</v>
      </c>
      <c r="AM58" s="3">
        <f>'Finansallar - 2008-2019'!AM58/AM$13</f>
        <v>94.89091718610868</v>
      </c>
      <c r="AN58" s="3">
        <f>'Finansallar - 2008-2019'!AN58/AN$13</f>
        <v>150.36356153107442</v>
      </c>
      <c r="AO58" s="3">
        <f>'Finansallar - 2008-2019'!AO58/AO$13</f>
        <v>42.526382107418549</v>
      </c>
      <c r="AP58" s="3">
        <f>'Finansallar - 2008-2019'!AP58/AP$13</f>
        <v>83.945178658834948</v>
      </c>
      <c r="AQ58" s="3">
        <f>'Finansallar - 2008-2019'!AQ58/AQ$13</f>
        <v>124.02390265102132</v>
      </c>
      <c r="AR58" s="3">
        <f>'Finansallar - 2008-2019'!AR58/AR$13</f>
        <v>197.8772696217469</v>
      </c>
      <c r="AS58" s="3">
        <f>'Finansallar - 2008-2019'!AS58/AS$13</f>
        <v>149.72067351619475</v>
      </c>
      <c r="AT58" s="3">
        <f>'Finansallar - 2008-2019'!AT58/AT$13</f>
        <v>191.56004768937839</v>
      </c>
      <c r="AU58" s="3">
        <f>'Finansallar - 2008-2019'!AU58/AU$13</f>
        <v>247.61475380737636</v>
      </c>
      <c r="AV58" s="3">
        <f>'Finansallar - 2008-2019'!AV58/AV$13</f>
        <v>255.32409366624398</v>
      </c>
    </row>
    <row r="59" spans="2:48" ht="15" customHeight="1" x14ac:dyDescent="0.2">
      <c r="B59" s="24" t="s">
        <v>74</v>
      </c>
      <c r="C59" s="3">
        <f>'Finansallar - 2008-2019'!C59/C$13</f>
        <v>181.26420000000002</v>
      </c>
      <c r="D59" s="3">
        <f>'Finansallar - 2008-2019'!D59/D$13</f>
        <v>114.04879999999999</v>
      </c>
      <c r="E59" s="3">
        <f>'Finansallar - 2008-2019'!E59/E$13</f>
        <v>25.488530161427342</v>
      </c>
      <c r="F59" s="3">
        <f>'Finansallar - 2008-2019'!F59/F$13</f>
        <v>1.8684526734357663</v>
      </c>
      <c r="G59" s="3">
        <f>'Finansallar - 2008-2019'!G59/G$13</f>
        <v>17.224758000000001</v>
      </c>
      <c r="H59" s="3">
        <f>'Finansallar - 2008-2019'!H59/H$13</f>
        <v>27.172362</v>
      </c>
      <c r="I59" s="3">
        <f>'Finansallar - 2008-2019'!I59/I$13</f>
        <v>45.275079999999996</v>
      </c>
      <c r="J59" s="3">
        <f>'Finansallar - 2008-2019'!J59/J$13</f>
        <v>62.650979999999997</v>
      </c>
      <c r="K59" s="3">
        <f>'Finansallar - 2008-2019'!K59/K$13</f>
        <v>77.26925700000001</v>
      </c>
      <c r="L59" s="3">
        <f>'Finansallar - 2008-2019'!L59/L$13</f>
        <v>98.062376999999998</v>
      </c>
      <c r="M59" s="3">
        <f>'Finansallar - 2008-2019'!M59/M$13</f>
        <v>52.206858000000004</v>
      </c>
      <c r="N59" s="3">
        <f>'Finansallar - 2008-2019'!N59/N$13</f>
        <v>85.032885000000007</v>
      </c>
      <c r="O59" s="3">
        <f>'Finansallar - 2008-2019'!O59/O$13</f>
        <v>111.24162000000001</v>
      </c>
      <c r="P59" s="3">
        <f>'Finansallar - 2008-2019'!P59/P$13</f>
        <v>114.31655600000001</v>
      </c>
      <c r="Q59" s="3">
        <f>'Finansallar - 2008-2019'!Q59/Q$13</f>
        <v>22.906289999999998</v>
      </c>
      <c r="R59" s="3">
        <f>'Finansallar - 2008-2019'!R59/R$13</f>
        <v>50.738779000000001</v>
      </c>
      <c r="S59" s="3">
        <f>'Finansallar - 2008-2019'!S59/S$13</f>
        <v>59.636557000000003</v>
      </c>
      <c r="T59" s="3">
        <f>'Finansallar - 2008-2019'!T59/T$13</f>
        <v>76.442301000000015</v>
      </c>
      <c r="U59" s="3">
        <f>'Finansallar - 2008-2019'!U59/U$13</f>
        <v>35.387288999999996</v>
      </c>
      <c r="V59" s="3">
        <f>'Finansallar - 2008-2019'!V59/V$13</f>
        <v>40.908839626292213</v>
      </c>
      <c r="W59" s="3">
        <f>'Finansallar - 2008-2019'!W59/W$13</f>
        <v>48.316949999999999</v>
      </c>
      <c r="X59" s="3">
        <f>'Finansallar - 2008-2019'!X59/X$13</f>
        <v>61.472150999999997</v>
      </c>
      <c r="Y59" s="3">
        <f>'Finansallar - 2008-2019'!Y59/Y$13</f>
        <v>53.282759866341515</v>
      </c>
      <c r="Z59" s="3">
        <f>'Finansallar - 2008-2019'!Z59/Z$13</f>
        <v>67.964307180174814</v>
      </c>
      <c r="AA59" s="3">
        <f>'Finansallar - 2008-2019'!AA59/AA$13</f>
        <v>90.665186418725042</v>
      </c>
      <c r="AB59" s="3">
        <f>'Finansallar - 2008-2019'!AB59/AB$13</f>
        <v>113.42327921335468</v>
      </c>
      <c r="AC59" s="3">
        <f>'Finansallar - 2008-2019'!AC59/AC$13</f>
        <v>24.419030564486579</v>
      </c>
      <c r="AD59" s="3">
        <f>'Finansallar - 2008-2019'!AD59/AD$13</f>
        <v>33.976371</v>
      </c>
      <c r="AE59" s="3">
        <f>'Finansallar - 2008-2019'!AE59/AE$13</f>
        <v>45.553798659739485</v>
      </c>
      <c r="AF59" s="3">
        <f>'Finansallar - 2008-2019'!AF59/AF$13</f>
        <v>53.326468316722455</v>
      </c>
      <c r="AG59" s="3">
        <f>'Finansallar - 2008-2019'!AG59/AG$13</f>
        <v>41.143867523547165</v>
      </c>
      <c r="AH59" s="3">
        <f>'Finansallar - 2008-2019'!AH59/AH$13</f>
        <v>61.684019999999997</v>
      </c>
      <c r="AI59" s="3">
        <f>'Finansallar - 2008-2019'!AI59/AI$13</f>
        <v>76.768228189293296</v>
      </c>
      <c r="AJ59" s="3">
        <f>'Finansallar - 2008-2019'!AJ59/AJ$13</f>
        <v>96.086942115900612</v>
      </c>
      <c r="AK59" s="3">
        <f>'Finansallar - 2008-2019'!AK59/AK$13</f>
        <v>43.598353552859599</v>
      </c>
      <c r="AL59" s="3">
        <f>'Finansallar - 2008-2019'!AL59/AL$13</f>
        <v>67.66420948399157</v>
      </c>
      <c r="AM59" s="3">
        <f>'Finansallar - 2008-2019'!AM59/AM$13</f>
        <v>96.004007123775651</v>
      </c>
      <c r="AN59" s="3">
        <f>'Finansallar - 2008-2019'!AN59/AN$13</f>
        <v>128.41267663602704</v>
      </c>
      <c r="AO59" s="3">
        <f>'Finansallar - 2008-2019'!AO59/AO$13</f>
        <v>35.701160287709399</v>
      </c>
      <c r="AP59" s="3">
        <f>'Finansallar - 2008-2019'!AP59/AP$13</f>
        <v>64.786833088595131</v>
      </c>
      <c r="AQ59" s="3">
        <f>'Finansallar - 2008-2019'!AQ59/AQ$13</f>
        <v>93.093003042155587</v>
      </c>
      <c r="AR59" s="3">
        <f>'Finansallar - 2008-2019'!AR59/AR$13</f>
        <v>121.99850934763251</v>
      </c>
      <c r="AS59" s="3">
        <f>'Finansallar - 2008-2019'!AS59/AS$13</f>
        <v>30.166514385873345</v>
      </c>
      <c r="AT59" s="3">
        <f>'Finansallar - 2008-2019'!AT59/AT$13</f>
        <v>65.134437781376221</v>
      </c>
      <c r="AU59" s="3">
        <f>'Finansallar - 2008-2019'!AU59/AU$13</f>
        <v>81.448755724377676</v>
      </c>
      <c r="AV59" s="3">
        <f>'Finansallar - 2008-2019'!AV59/AV$13</f>
        <v>97.674566229369645</v>
      </c>
    </row>
    <row r="60" spans="2:48" ht="15" customHeight="1" x14ac:dyDescent="0.2">
      <c r="B60" s="52" t="s">
        <v>184</v>
      </c>
      <c r="C60" s="13">
        <f>'Finansallar - 2008-2019'!C60/C$13</f>
        <v>169.78139999999999</v>
      </c>
      <c r="D60" s="13">
        <f>'Finansallar - 2008-2019'!D60/D$13</f>
        <v>98.636799999999994</v>
      </c>
      <c r="E60" s="13">
        <f>'Finansallar - 2008-2019'!E60/E$13</f>
        <v>22.454181332685991</v>
      </c>
      <c r="F60" s="13">
        <f>'Finansallar - 2008-2019'!F60/F$13</f>
        <v>-5.6053580203072988</v>
      </c>
      <c r="G60" s="13">
        <f>'Finansallar - 2008-2019'!G60/G$13</f>
        <v>4.4656780000000005</v>
      </c>
      <c r="H60" s="13">
        <f>'Finansallar - 2008-2019'!H60/H$13</f>
        <v>9.7044149999999991</v>
      </c>
      <c r="I60" s="13">
        <f>'Finansallar - 2008-2019'!I60/I$13</f>
        <v>40.614409999999999</v>
      </c>
      <c r="J60" s="13">
        <f>'Finansallar - 2008-2019'!J60/J$13</f>
        <v>52.099235999999998</v>
      </c>
      <c r="K60" s="13">
        <f>'Finansallar - 2008-2019'!K60/K$13</f>
        <v>61.419153000000009</v>
      </c>
      <c r="L60" s="13">
        <f>'Finansallar - 2008-2019'!L60/L$13</f>
        <v>77.382555999999994</v>
      </c>
      <c r="M60" s="13">
        <f>'Finansallar - 2008-2019'!M60/M$13</f>
        <v>47.750175000000006</v>
      </c>
      <c r="N60" s="13">
        <f>'Finansallar - 2008-2019'!N60/N$13</f>
        <v>76.082054999999997</v>
      </c>
      <c r="O60" s="13">
        <f>'Finansallar - 2008-2019'!O60/O$13</f>
        <v>98.881440000000012</v>
      </c>
      <c r="P60" s="13">
        <f>'Finansallar - 2008-2019'!P60/P$13</f>
        <v>99.353656000000001</v>
      </c>
      <c r="Q60" s="13">
        <f>'Finansallar - 2008-2019'!Q60/Q$13</f>
        <v>20.112839999999998</v>
      </c>
      <c r="R60" s="13">
        <f>'Finansallar - 2008-2019'!R60/R$13</f>
        <v>44.047950999999998</v>
      </c>
      <c r="S60" s="13">
        <f>'Finansallar - 2008-2019'!S60/S$13</f>
        <v>49.046888000000003</v>
      </c>
      <c r="T60" s="13">
        <f>'Finansallar - 2008-2019'!T60/T$13</f>
        <v>61.377030000000005</v>
      </c>
      <c r="U60" s="13">
        <f>'Finansallar - 2008-2019'!U60/U$13</f>
        <v>31.455367999999996</v>
      </c>
      <c r="V60" s="13">
        <f>'Finansallar - 2008-2019'!V60/V$13</f>
        <v>33.169329426723415</v>
      </c>
      <c r="W60" s="13">
        <f>'Finansallar - 2008-2019'!W60/W$13</f>
        <v>35.969284999999999</v>
      </c>
      <c r="X60" s="13">
        <f>'Finansallar - 2008-2019'!X60/X$13</f>
        <v>45.710060999999996</v>
      </c>
      <c r="Y60" s="13">
        <f>'Finansallar - 2008-2019'!Y60/Y$13</f>
        <v>47.864174117222035</v>
      </c>
      <c r="Z60" s="13">
        <f>'Finansallar - 2008-2019'!Z60/Z$13</f>
        <v>60.104489343011743</v>
      </c>
      <c r="AA60" s="13">
        <f>'Finansallar - 2008-2019'!AA60/AA$13</f>
        <v>78.175594412063944</v>
      </c>
      <c r="AB60" s="13">
        <f>'Finansallar - 2008-2019'!AB60/AB$13</f>
        <v>94.214498056254286</v>
      </c>
      <c r="AC60" s="13">
        <f>'Finansallar - 2008-2019'!AC60/AC$13</f>
        <v>18.314272923364936</v>
      </c>
      <c r="AD60" s="13">
        <f>'Finansallar - 2008-2019'!AD60/AD$13</f>
        <v>22.650914</v>
      </c>
      <c r="AE60" s="13">
        <f>'Finansallar - 2008-2019'!AE60/AE$13</f>
        <v>27.106392590919363</v>
      </c>
      <c r="AF60" s="13">
        <f>'Finansallar - 2008-2019'!AF60/AF$13</f>
        <v>26.847118531867167</v>
      </c>
      <c r="AG60" s="13">
        <f>'Finansallar - 2008-2019'!AG60/AG$13</f>
        <v>33.323132374443155</v>
      </c>
      <c r="AH60" s="13">
        <f>'Finansallar - 2008-2019'!AH60/AH$13</f>
        <v>46.948393000000003</v>
      </c>
      <c r="AI60" s="13">
        <f>'Finansallar - 2008-2019'!AI60/AI$13</f>
        <v>54.931932171005428</v>
      </c>
      <c r="AJ60" s="13">
        <f>'Finansallar - 2008-2019'!AJ60/AJ$13</f>
        <v>68.254862330605263</v>
      </c>
      <c r="AK60" s="13">
        <f>'Finansallar - 2008-2019'!AK60/AK$13</f>
        <v>36.286828422876937</v>
      </c>
      <c r="AL60" s="13">
        <f>'Finansallar - 2008-2019'!AL60/AL$13</f>
        <v>53.086148091099076</v>
      </c>
      <c r="AM60" s="13">
        <f>'Finansallar - 2008-2019'!AM60/AM$13</f>
        <v>74.020480854853105</v>
      </c>
      <c r="AN60" s="13">
        <f>'Finansallar - 2008-2019'!AN60/AN$13</f>
        <v>98.230209905336935</v>
      </c>
      <c r="AO60" s="13">
        <f>'Finansallar - 2008-2019'!AO60/AO$13</f>
        <v>30.450989657163898</v>
      </c>
      <c r="AP60" s="13">
        <f>'Finansallar - 2008-2019'!AP60/AP$13</f>
        <v>51.884483602545217</v>
      </c>
      <c r="AQ60" s="13">
        <f>'Finansallar - 2008-2019'!AQ60/AQ$13</f>
        <v>76.488483268144293</v>
      </c>
      <c r="AR60" s="13">
        <f>'Finansallar - 2008-2019'!AR60/AR$13</f>
        <v>102.68938531293344</v>
      </c>
      <c r="AS60" s="13">
        <f>'Finansallar - 2008-2019'!AS60/AS$13</f>
        <v>29.088739301497355</v>
      </c>
      <c r="AT60" s="13">
        <f>'Finansallar - 2008-2019'!AT60/AT$13</f>
        <v>57.120486858729109</v>
      </c>
      <c r="AU60" s="13">
        <f>'Finansallar - 2008-2019'!AU60/AU$13</f>
        <v>72.065036032517853</v>
      </c>
      <c r="AV60" s="13">
        <f>'Finansallar - 2008-2019'!AV60/AV$13</f>
        <v>83.75652419241095</v>
      </c>
    </row>
    <row r="61" spans="2:48" ht="15" customHeight="1" x14ac:dyDescent="0.2">
      <c r="B61" s="52" t="s">
        <v>169</v>
      </c>
      <c r="C61" s="13">
        <f>'Finansallar - 2008-2019'!C61/C$13</f>
        <v>11.482800000000001</v>
      </c>
      <c r="D61" s="13">
        <f>'Finansallar - 2008-2019'!D61/D$13</f>
        <v>14.641399999999999</v>
      </c>
      <c r="E61" s="13">
        <f>'Finansallar - 2008-2019'!E61/E$13</f>
        <v>3.0343488287413503</v>
      </c>
      <c r="F61" s="13">
        <f>'Finansallar - 2008-2019'!F61/F$13</f>
        <v>7.4738106937430651</v>
      </c>
      <c r="G61" s="13">
        <f>'Finansallar - 2008-2019'!G61/G$13</f>
        <v>12.759080000000001</v>
      </c>
      <c r="H61" s="13">
        <f>'Finansallar - 2008-2019'!H61/H$13</f>
        <v>17.467946999999999</v>
      </c>
      <c r="I61" s="13">
        <f>'Finansallar - 2008-2019'!I61/I$13</f>
        <v>4.6606699999999996</v>
      </c>
      <c r="J61" s="13">
        <f>'Finansallar - 2008-2019'!J61/J$13</f>
        <v>10.551743999999999</v>
      </c>
      <c r="K61" s="13">
        <f>'Finansallar - 2008-2019'!K61/K$13</f>
        <v>15.850104000000002</v>
      </c>
      <c r="L61" s="13">
        <f>'Finansallar - 2008-2019'!L61/L$13</f>
        <v>20.679821</v>
      </c>
      <c r="M61" s="13">
        <f>'Finansallar - 2008-2019'!M61/M$13</f>
        <v>4.456683</v>
      </c>
      <c r="N61" s="13">
        <f>'Finansallar - 2008-2019'!N61/N$13</f>
        <v>8.9508299999999998</v>
      </c>
      <c r="O61" s="13">
        <f>'Finansallar - 2008-2019'!O61/O$13</f>
        <v>12.360180000000001</v>
      </c>
      <c r="P61" s="13">
        <f>'Finansallar - 2008-2019'!P61/P$13</f>
        <v>14.962900000000001</v>
      </c>
      <c r="Q61" s="13">
        <f>'Finansallar - 2008-2019'!Q61/Q$13</f>
        <v>2.79345</v>
      </c>
      <c r="R61" s="13">
        <f>'Finansallar - 2008-2019'!R61/R$13</f>
        <v>6.6908279999999998</v>
      </c>
      <c r="S61" s="13">
        <f>'Finansallar - 2008-2019'!S61/S$13</f>
        <v>10.589669000000001</v>
      </c>
      <c r="T61" s="13">
        <f>'Finansallar - 2008-2019'!T61/T$13</f>
        <v>15.065271000000003</v>
      </c>
      <c r="U61" s="13">
        <f>'Finansallar - 2008-2019'!U61/U$13</f>
        <v>3.9319209999999996</v>
      </c>
      <c r="V61" s="13">
        <f>'Finansallar - 2008-2019'!V61/V$13</f>
        <v>7.7395101995687972</v>
      </c>
      <c r="W61" s="13">
        <f>'Finansallar - 2008-2019'!W61/W$13</f>
        <v>12.347664999999999</v>
      </c>
      <c r="X61" s="13">
        <f>'Finansallar - 2008-2019'!X61/X$13</f>
        <v>15.762089999999999</v>
      </c>
      <c r="Y61" s="13">
        <f>'Finansallar - 2008-2019'!Y61/Y$13</f>
        <v>5.418585749119476</v>
      </c>
      <c r="Z61" s="13">
        <f>'Finansallar - 2008-2019'!Z61/Z$13</f>
        <v>7.8598178371630745</v>
      </c>
      <c r="AA61" s="13">
        <f>'Finansallar - 2008-2019'!AA61/AA$13</f>
        <v>12.489592006661104</v>
      </c>
      <c r="AB61" s="13">
        <f>'Finansallar - 2008-2019'!AB61/AB$13</f>
        <v>19.208781157100386</v>
      </c>
      <c r="AC61" s="13">
        <f>'Finansallar - 2008-2019'!AC61/AC$13</f>
        <v>6.1047576411216449</v>
      </c>
      <c r="AD61" s="13">
        <f>'Finansallar - 2008-2019'!AD61/AD$13</f>
        <v>11.325457</v>
      </c>
      <c r="AE61" s="13">
        <f>'Finansallar - 2008-2019'!AE61/AE$13</f>
        <v>18.447406068820122</v>
      </c>
      <c r="AF61" s="13">
        <f>'Finansallar - 2008-2019'!AF61/AF$13</f>
        <v>26.479349784855287</v>
      </c>
      <c r="AG61" s="13">
        <f>'Finansallar - 2008-2019'!AG61/AG$13</f>
        <v>7.8207351491040065</v>
      </c>
      <c r="AH61" s="13">
        <f>'Finansallar - 2008-2019'!AH61/AH$13</f>
        <v>14.735626999999999</v>
      </c>
      <c r="AI61" s="13">
        <f>'Finansallar - 2008-2019'!AI61/AI$13</f>
        <v>21.495103893002124</v>
      </c>
      <c r="AJ61" s="13">
        <f>'Finansallar - 2008-2019'!AJ61/AJ$13</f>
        <v>27.500745502137075</v>
      </c>
      <c r="AK61" s="13">
        <f>'Finansallar - 2008-2019'!AK61/AK$13</f>
        <v>7.040727902946271</v>
      </c>
      <c r="AL61" s="13">
        <f>'Finansallar - 2008-2019'!AL61/AL$13</f>
        <v>14.578061392892492</v>
      </c>
      <c r="AM61" s="13">
        <f>'Finansallar - 2008-2019'!AM61/AM$13</f>
        <v>23.931433659839726</v>
      </c>
      <c r="AN61" s="13">
        <f>'Finansallar - 2008-2019'!AN61/AN$13</f>
        <v>32.926327342571042</v>
      </c>
      <c r="AO61" s="13">
        <f>'Finansallar - 2008-2019'!AO61/AO$13</f>
        <v>5.5126791620727751</v>
      </c>
      <c r="AP61" s="13">
        <f>'Finansallar - 2008-2019'!AP61/AP$13</f>
        <v>11.013215859030824</v>
      </c>
      <c r="AQ61" s="13">
        <f>'Finansallar - 2008-2019'!AQ61/AQ$13</f>
        <v>14.558887440243375</v>
      </c>
      <c r="AR61" s="13">
        <f>'Finansallar - 2008-2019'!AR61/AR$13</f>
        <v>19.25425974617502</v>
      </c>
      <c r="AS61" s="13">
        <f>'Finansallar - 2008-2019'!AS61/AS$13</f>
        <v>2.0511290533107109</v>
      </c>
      <c r="AT61" s="13">
        <f>'Finansallar - 2008-2019'!AT61/AT$13</f>
        <v>6.9398722351726949</v>
      </c>
      <c r="AU61" s="13">
        <f>'Finansallar - 2008-2019'!AU61/AU$13</f>
        <v>9.5850047925023745</v>
      </c>
      <c r="AV61" s="13">
        <f>'Finansallar - 2008-2019'!AV61/AV$13</f>
        <v>15.86965721540418</v>
      </c>
    </row>
    <row r="62" spans="2:48" ht="15" customHeight="1" x14ac:dyDescent="0.2">
      <c r="B62" s="52" t="s">
        <v>183</v>
      </c>
      <c r="C62" s="13">
        <f>'Finansallar - 2008-2019'!C62/C$13</f>
        <v>0</v>
      </c>
      <c r="D62" s="13">
        <f>'Finansallar - 2008-2019'!D62/D$13</f>
        <v>0</v>
      </c>
      <c r="E62" s="13">
        <f>'Finansallar - 2008-2019'!E62/E$13</f>
        <v>0</v>
      </c>
      <c r="F62" s="13">
        <f>'Finansallar - 2008-2019'!F62/F$13</f>
        <v>0</v>
      </c>
      <c r="G62" s="13">
        <f>'Finansallar - 2008-2019'!G62/G$13</f>
        <v>0</v>
      </c>
      <c r="H62" s="13">
        <f>'Finansallar - 2008-2019'!H62/H$13</f>
        <v>0</v>
      </c>
      <c r="I62" s="13">
        <f>'Finansallar - 2008-2019'!I62/I$13</f>
        <v>0</v>
      </c>
      <c r="J62" s="13">
        <f>'Finansallar - 2008-2019'!J62/J$13</f>
        <v>0</v>
      </c>
      <c r="K62" s="13">
        <f>'Finansallar - 2008-2019'!K62/K$13</f>
        <v>0</v>
      </c>
      <c r="L62" s="13">
        <f>'Finansallar - 2008-2019'!L62/L$13</f>
        <v>0</v>
      </c>
      <c r="M62" s="13">
        <f>'Finansallar - 2008-2019'!M62/M$13</f>
        <v>0</v>
      </c>
      <c r="N62" s="13">
        <f>'Finansallar - 2008-2019'!N62/N$13</f>
        <v>0</v>
      </c>
      <c r="O62" s="13">
        <f>'Finansallar - 2008-2019'!O62/O$13</f>
        <v>0</v>
      </c>
      <c r="P62" s="13">
        <f>'Finansallar - 2008-2019'!P62/P$13</f>
        <v>0</v>
      </c>
      <c r="Q62" s="13">
        <f>'Finansallar - 2008-2019'!Q62/Q$13</f>
        <v>0</v>
      </c>
      <c r="R62" s="13">
        <f>'Finansallar - 2008-2019'!R62/R$13</f>
        <v>0</v>
      </c>
      <c r="S62" s="13">
        <f>'Finansallar - 2008-2019'!S62/S$13</f>
        <v>0</v>
      </c>
      <c r="T62" s="13">
        <f>'Finansallar - 2008-2019'!T62/T$13</f>
        <v>0</v>
      </c>
      <c r="U62" s="13">
        <f>'Finansallar - 2008-2019'!U62/U$13</f>
        <v>0</v>
      </c>
      <c r="V62" s="13">
        <f>'Finansallar - 2008-2019'!V62/V$13</f>
        <v>0</v>
      </c>
      <c r="W62" s="13">
        <f>'Finansallar - 2008-2019'!W62/W$13</f>
        <v>0</v>
      </c>
      <c r="X62" s="13">
        <f>'Finansallar - 2008-2019'!X62/X$13</f>
        <v>0</v>
      </c>
      <c r="Y62" s="13">
        <f>'Finansallar - 2008-2019'!Y62/Y$13</f>
        <v>0</v>
      </c>
      <c r="Z62" s="13">
        <f>'Finansallar - 2008-2019'!Z62/Z$13</f>
        <v>0</v>
      </c>
      <c r="AA62" s="13">
        <f>'Finansallar - 2008-2019'!AA62/AA$13</f>
        <v>0</v>
      </c>
      <c r="AB62" s="13">
        <f>'Finansallar - 2008-2019'!AB62/AB$13</f>
        <v>0</v>
      </c>
      <c r="AC62" s="13">
        <f>'Finansallar - 2008-2019'!AC62/AC$13</f>
        <v>0</v>
      </c>
      <c r="AD62" s="13">
        <f>'Finansallar - 2008-2019'!AD62/AD$13</f>
        <v>0</v>
      </c>
      <c r="AE62" s="13">
        <f>'Finansallar - 2008-2019'!AE62/AE$13</f>
        <v>0</v>
      </c>
      <c r="AF62" s="13">
        <f>'Finansallar - 2008-2019'!AF62/AF$13</f>
        <v>0</v>
      </c>
      <c r="AG62" s="13">
        <f>'Finansallar - 2008-2019'!AG62/AG$13</f>
        <v>0</v>
      </c>
      <c r="AH62" s="13">
        <f>'Finansallar - 2008-2019'!AH62/AH$13</f>
        <v>0</v>
      </c>
      <c r="AI62" s="13">
        <f>'Finansallar - 2008-2019'!AI62/AI$13</f>
        <v>0</v>
      </c>
      <c r="AJ62" s="13">
        <f>'Finansallar - 2008-2019'!AJ62/AJ$13</f>
        <v>0</v>
      </c>
      <c r="AK62" s="13">
        <f>'Finansallar - 2008-2019'!AK62/AK$13</f>
        <v>0</v>
      </c>
      <c r="AL62" s="13">
        <f>'Finansallar - 2008-2019'!AL62/AL$13</f>
        <v>-2.4755198591704231</v>
      </c>
      <c r="AM62" s="13">
        <f>'Finansallar - 2008-2019'!AM62/AM$13</f>
        <v>-2.2261798753339281</v>
      </c>
      <c r="AN62" s="13">
        <f>'Finansallar - 2008-2019'!AN62/AN$13</f>
        <v>-2.4694745506928277</v>
      </c>
      <c r="AO62" s="13">
        <f>'Finansallar - 2008-2019'!AO62/AO$13</f>
        <v>-0.26250853152727499</v>
      </c>
      <c r="AP62" s="13">
        <f>'Finansallar - 2008-2019'!AP62/AP$13</f>
        <v>-0.48947626040136999</v>
      </c>
      <c r="AQ62" s="13">
        <f>'Finansallar - 2008-2019'!AQ62/AQ$13</f>
        <v>2.17296827466319</v>
      </c>
      <c r="AR62" s="13">
        <f>'Finansallar - 2008-2019'!AR62/AR$13</f>
        <v>0</v>
      </c>
      <c r="AS62" s="13">
        <f>'Finansallar - 2008-2019'!AS62/AS$13</f>
        <v>-0.93233138786850489</v>
      </c>
      <c r="AT62" s="13">
        <f>'Finansallar - 2008-2019'!AT62/AT$13</f>
        <v>1.0676726515650301</v>
      </c>
      <c r="AU62" s="13">
        <f>'Finansallar - 2008-2019'!AU62/AU$13</f>
        <v>-0.177500088750044</v>
      </c>
      <c r="AV62" s="13">
        <f>'Finansallar - 2008-2019'!AV62/AV$13</f>
        <v>-1.9396247707716221</v>
      </c>
    </row>
    <row r="63" spans="2:48" ht="15" customHeight="1" x14ac:dyDescent="0.2">
      <c r="B63" s="24" t="s">
        <v>75</v>
      </c>
      <c r="C63" s="3">
        <f>'Finansallar - 2008-2019'!C63/C$13</f>
        <v>-6.5616000000000003</v>
      </c>
      <c r="D63" s="3">
        <f>'Finansallar - 2008-2019'!D63/D$13</f>
        <v>-6.1647999999999996</v>
      </c>
      <c r="E63" s="3">
        <f>'Finansallar - 2008-2019'!E63/E$13</f>
        <v>0</v>
      </c>
      <c r="F63" s="3">
        <f>'Finansallar - 2008-2019'!F63/F$13</f>
        <v>4.9825404624953764</v>
      </c>
      <c r="G63" s="3">
        <f>'Finansallar - 2008-2019'!G63/G$13</f>
        <v>5.7415859999999999</v>
      </c>
      <c r="H63" s="3">
        <f>'Finansallar - 2008-2019'!H63/H$13</f>
        <v>6.4696100000000003</v>
      </c>
      <c r="I63" s="3">
        <f>'Finansallar - 2008-2019'!I63/I$13</f>
        <v>0.66581000000000001</v>
      </c>
      <c r="J63" s="3">
        <f>'Finansallar - 2008-2019'!J63/J$13</f>
        <v>1.3189679999999999</v>
      </c>
      <c r="K63" s="3">
        <f>'Finansallar - 2008-2019'!K63/K$13</f>
        <v>1.3208420000000001</v>
      </c>
      <c r="L63" s="3">
        <f>'Finansallar - 2008-2019'!L63/L$13</f>
        <v>1.334182</v>
      </c>
      <c r="M63" s="3">
        <f>'Finansallar - 2008-2019'!M63/M$13</f>
        <v>0.63666900000000004</v>
      </c>
      <c r="N63" s="3">
        <f>'Finansallar - 2008-2019'!N63/N$13</f>
        <v>0</v>
      </c>
      <c r="O63" s="3">
        <f>'Finansallar - 2008-2019'!O63/O$13</f>
        <v>0.61800900000000003</v>
      </c>
      <c r="P63" s="3">
        <f>'Finansallar - 2008-2019'!P63/P$13</f>
        <v>1.1970320000000001</v>
      </c>
      <c r="Q63" s="3">
        <f>'Finansallar - 2008-2019'!Q63/Q$13</f>
        <v>0</v>
      </c>
      <c r="R63" s="3">
        <f>'Finansallar - 2008-2019'!R63/R$13</f>
        <v>-0.55756899999999998</v>
      </c>
      <c r="S63" s="3">
        <f>'Finansallar - 2008-2019'!S63/S$13</f>
        <v>0.55735100000000004</v>
      </c>
      <c r="T63" s="3">
        <f>'Finansallar - 2008-2019'!T63/T$13</f>
        <v>0</v>
      </c>
      <c r="U63" s="3">
        <f>'Finansallar - 2008-2019'!U63/U$13</f>
        <v>0</v>
      </c>
      <c r="V63" s="3">
        <f>'Finansallar - 2008-2019'!V63/V$13</f>
        <v>0</v>
      </c>
      <c r="W63" s="3">
        <f>'Finansallar - 2008-2019'!W63/W$13</f>
        <v>0</v>
      </c>
      <c r="X63" s="3">
        <f>'Finansallar - 2008-2019'!X63/X$13</f>
        <v>0</v>
      </c>
      <c r="Y63" s="3">
        <f>'Finansallar - 2008-2019'!Y63/Y$13</f>
        <v>0</v>
      </c>
      <c r="Z63" s="3">
        <f>'Finansallar - 2008-2019'!Z63/Z$13</f>
        <v>-0.46234222571547495</v>
      </c>
      <c r="AA63" s="3">
        <f>'Finansallar - 2008-2019'!AA63/AA$13</f>
        <v>-1.387732445184567</v>
      </c>
      <c r="AB63" s="3">
        <f>'Finansallar - 2008-2019'!AB63/AB$13</f>
        <v>-3.2014635261833981</v>
      </c>
      <c r="AC63" s="3">
        <f>'Finansallar - 2008-2019'!AC63/AC$13</f>
        <v>-0.406983842741443</v>
      </c>
      <c r="AD63" s="3">
        <f>'Finansallar - 2008-2019'!AD63/AD$13</f>
        <v>-1.1715990000000001</v>
      </c>
      <c r="AE63" s="3">
        <f>'Finansallar - 2008-2019'!AE63/AE$13</f>
        <v>-1.50591069949552</v>
      </c>
      <c r="AF63" s="3">
        <f>'Finansallar - 2008-2019'!AF63/AF$13</f>
        <v>-2.2066124820712738</v>
      </c>
      <c r="AG63" s="3">
        <f>'Finansallar - 2008-2019'!AG63/AG$13</f>
        <v>-0.68006392600904397</v>
      </c>
      <c r="AH63" s="3">
        <f>'Finansallar - 2008-2019'!AH63/AH$13</f>
        <v>-2.0561340000000001</v>
      </c>
      <c r="AI63" s="3">
        <f>'Finansallar - 2008-2019'!AI63/AI$13</f>
        <v>-2.7295370022859839</v>
      </c>
      <c r="AJ63" s="3">
        <f>'Finansallar - 2008-2019'!AJ63/AJ$13</f>
        <v>-3.6446771147410582</v>
      </c>
      <c r="AK63" s="3">
        <f>'Finansallar - 2008-2019'!AK63/AK$13</f>
        <v>0.27079722703639503</v>
      </c>
      <c r="AL63" s="3">
        <f>'Finansallar - 2008-2019'!AL63/AL$13</f>
        <v>3.8508086698206583</v>
      </c>
      <c r="AM63" s="3">
        <f>'Finansallar - 2008-2019'!AM63/AM$13</f>
        <v>1.9479073909171871</v>
      </c>
      <c r="AN63" s="3">
        <f>'Finansallar - 2008-2019'!AN63/AN$13</f>
        <v>1.097544244752368</v>
      </c>
      <c r="AO63" s="3">
        <f>'Finansallar - 2008-2019'!AO63/AO$13</f>
        <v>0.15750511891636498</v>
      </c>
      <c r="AP63" s="3">
        <f>'Finansallar - 2008-2019'!AP63/AP$13</f>
        <v>-0.48947626040136999</v>
      </c>
      <c r="AQ63" s="3">
        <f>'Finansallar - 2008-2019'!AQ63/AQ$13</f>
        <v>0.33746197305519343</v>
      </c>
      <c r="AR63" s="3">
        <f>'Finansallar - 2008-2019'!AR63/AR$13</f>
        <v>-0.62110515310241998</v>
      </c>
      <c r="AS63" s="3">
        <f>'Finansallar - 2008-2019'!AS63/AS$13</f>
        <v>0.83891178280408074</v>
      </c>
      <c r="AT63" s="3">
        <f>'Finansallar - 2008-2019'!AT63/AT$13</f>
        <v>0.74310016548926094</v>
      </c>
      <c r="AU63" s="3">
        <f>'Finansallar - 2008-2019'!AU63/AU$13</f>
        <v>1.7982533991266956</v>
      </c>
      <c r="AV63" s="73"/>
    </row>
    <row r="64" spans="2:48" ht="15" customHeight="1" x14ac:dyDescent="0.2">
      <c r="B64" s="24" t="s">
        <v>76</v>
      </c>
      <c r="C64" s="3">
        <f>'Finansallar - 2008-2019'!C64/C$13</f>
        <v>-2.4605999999999999</v>
      </c>
      <c r="D64" s="3">
        <f>'Finansallar - 2008-2019'!D64/D$13</f>
        <v>-4.6235999999999997</v>
      </c>
      <c r="E64" s="3">
        <f>'Finansallar - 2008-2019'!E64/E$13</f>
        <v>0</v>
      </c>
      <c r="F64" s="3">
        <f>'Finansallar - 2008-2019'!F64/F$13</f>
        <v>1.2456351156238441</v>
      </c>
      <c r="G64" s="3">
        <f>'Finansallar - 2008-2019'!G64/G$13</f>
        <v>1.275908</v>
      </c>
      <c r="H64" s="3">
        <f>'Finansallar - 2008-2019'!H64/H$13</f>
        <v>0.64696100000000001</v>
      </c>
      <c r="I64" s="3">
        <f>'Finansallar - 2008-2019'!I64/I$13</f>
        <v>0.66581000000000001</v>
      </c>
      <c r="J64" s="3">
        <f>'Finansallar - 2008-2019'!J64/J$13</f>
        <v>1.9784519999999999</v>
      </c>
      <c r="K64" s="3">
        <f>'Finansallar - 2008-2019'!K64/K$13</f>
        <v>1.9812630000000002</v>
      </c>
      <c r="L64" s="3">
        <f>'Finansallar - 2008-2019'!L64/L$13</f>
        <v>2.0012729999999999</v>
      </c>
      <c r="M64" s="3">
        <f>'Finansallar - 2008-2019'!M64/M$13</f>
        <v>-0.63666900000000004</v>
      </c>
      <c r="N64" s="3">
        <f>'Finansallar - 2008-2019'!N64/N$13</f>
        <v>-1.9180350000000002</v>
      </c>
      <c r="O64" s="3">
        <f>'Finansallar - 2008-2019'!O64/O$13</f>
        <v>-1.8540270000000001</v>
      </c>
      <c r="P64" s="3">
        <f>'Finansallar - 2008-2019'!P64/P$13</f>
        <v>-2.3940640000000002</v>
      </c>
      <c r="Q64" s="3">
        <f>'Finansallar - 2008-2019'!Q64/Q$13</f>
        <v>0</v>
      </c>
      <c r="R64" s="3">
        <f>'Finansallar - 2008-2019'!R64/R$13</f>
        <v>2.7878449999999999</v>
      </c>
      <c r="S64" s="3">
        <f>'Finansallar - 2008-2019'!S64/S$13</f>
        <v>3.9014570000000002</v>
      </c>
      <c r="T64" s="3">
        <f>'Finansallar - 2008-2019'!T64/T$13</f>
        <v>1.1159460000000001</v>
      </c>
      <c r="U64" s="3">
        <f>'Finansallar - 2008-2019'!U64/U$13</f>
        <v>0</v>
      </c>
      <c r="V64" s="3">
        <f>'Finansallar - 2008-2019'!V64/V$13</f>
        <v>-1.1056443142241139</v>
      </c>
      <c r="W64" s="3">
        <f>'Finansallar - 2008-2019'!W64/W$13</f>
        <v>-2.684275</v>
      </c>
      <c r="X64" s="3">
        <f>'Finansallar - 2008-2019'!X64/X$13</f>
        <v>-4.2032239999999996</v>
      </c>
      <c r="Y64" s="3">
        <f>'Finansallar - 2008-2019'!Y64/Y$13</f>
        <v>-0.45154881242662298</v>
      </c>
      <c r="Z64" s="3">
        <f>'Finansallar - 2008-2019'!Z64/Z$13</f>
        <v>-1.3870266771464248</v>
      </c>
      <c r="AA64" s="3">
        <f>'Finansallar - 2008-2019'!AA64/AA$13</f>
        <v>-2.312887408640945</v>
      </c>
      <c r="AB64" s="3">
        <f>'Finansallar - 2008-2019'!AB64/AB$13</f>
        <v>-6.8602789846787102</v>
      </c>
      <c r="AC64" s="3">
        <f>'Finansallar - 2008-2019'!AC64/AC$13</f>
        <v>-1.627935370965772</v>
      </c>
      <c r="AD64" s="3">
        <f>'Finansallar - 2008-2019'!AD64/AD$13</f>
        <v>-2.3431980000000001</v>
      </c>
      <c r="AE64" s="3">
        <f>'Finansallar - 2008-2019'!AE64/AE$13</f>
        <v>-2.2588660492432799</v>
      </c>
      <c r="AF64" s="3">
        <f>'Finansallar - 2008-2019'!AF64/AF$13</f>
        <v>-3.3099187231069109</v>
      </c>
      <c r="AG64" s="3">
        <f>'Finansallar - 2008-2019'!AG64/AG$13</f>
        <v>-0.68006392600904397</v>
      </c>
      <c r="AH64" s="3">
        <f>'Finansallar - 2008-2019'!AH64/AH$13</f>
        <v>-2.0561340000000001</v>
      </c>
      <c r="AI64" s="3">
        <f>'Finansallar - 2008-2019'!AI64/AI$13</f>
        <v>-2.388344877000236</v>
      </c>
      <c r="AJ64" s="3">
        <f>'Finansallar - 2008-2019'!AJ64/AJ$13</f>
        <v>-3.9760113978993359</v>
      </c>
      <c r="AK64" s="3">
        <f>'Finansallar - 2008-2019'!AK64/AK$13</f>
        <v>-0.81239168110918514</v>
      </c>
      <c r="AL64" s="3">
        <f>'Finansallar - 2008-2019'!AL64/AL$13</f>
        <v>-1.9254043349103291</v>
      </c>
      <c r="AM64" s="3">
        <f>'Finansallar - 2008-2019'!AM64/AM$13</f>
        <v>-2.7827248441674102</v>
      </c>
      <c r="AN64" s="3">
        <f>'Finansallar - 2008-2019'!AN64/AN$13</f>
        <v>-4.390176979009472</v>
      </c>
      <c r="AO64" s="3">
        <f>'Finansallar - 2008-2019'!AO64/AO$13</f>
        <v>-0.84002730088728006</v>
      </c>
      <c r="AP64" s="3">
        <f>'Finansallar - 2008-2019'!AP64/AP$13</f>
        <v>-2.9368575624082198</v>
      </c>
      <c r="AQ64" s="3">
        <f>'Finansallar - 2008-2019'!AQ64/AQ$13</f>
        <v>-4.0832246849196006</v>
      </c>
      <c r="AR64" s="3">
        <f>'Finansallar - 2008-2019'!AR64/AR$13</f>
        <v>-9.1095422455021602</v>
      </c>
      <c r="AS64" s="3">
        <f>'Finansallar - 2008-2019'!AS64/AS$13</f>
        <v>-4.9562736579089721</v>
      </c>
      <c r="AT64" s="3">
        <f>'Finansallar - 2008-2019'!AT64/AT$13</f>
        <v>-8.7840987953093563</v>
      </c>
      <c r="AU64" s="3">
        <f>'Finansallar - 2008-2019'!AU64/AU$13</f>
        <v>-11.50520075260035</v>
      </c>
      <c r="AV64" s="3">
        <f>'Finansallar - 2008-2019'!AV64/AV$13</f>
        <v>-14.261179291860659</v>
      </c>
    </row>
    <row r="65" spans="1:48" ht="15" customHeight="1" x14ac:dyDescent="0.2">
      <c r="B65" s="43" t="s">
        <v>78</v>
      </c>
      <c r="C65" s="44">
        <f>'Finansallar - 2008-2019'!C65/C$13</f>
        <v>255.0822</v>
      </c>
      <c r="D65" s="44">
        <f>'Finansallar - 2008-2019'!D65/D$13</f>
        <v>190.33819999999997</v>
      </c>
      <c r="E65" s="44">
        <f>'Finansallar - 2008-2019'!E65/E$13</f>
        <v>56.438888214589113</v>
      </c>
      <c r="F65" s="44">
        <f>'Finansallar - 2008-2019'!F65/F$13</f>
        <v>56.05358020307299</v>
      </c>
      <c r="G65" s="44">
        <f>'Finansallar - 2008-2019'!G65/G$13</f>
        <v>96.969008000000002</v>
      </c>
      <c r="H65" s="44">
        <f>'Finansallar - 2008-2019'!H65/H$13</f>
        <v>130.68612200000001</v>
      </c>
      <c r="I65" s="44">
        <f>'Finansallar - 2008-2019'!I65/I$13</f>
        <v>71.907479999999993</v>
      </c>
      <c r="J65" s="44">
        <f>'Finansallar - 2008-2019'!J65/J$13</f>
        <v>116.06918399999999</v>
      </c>
      <c r="K65" s="44">
        <f>'Finansallar - 2008-2019'!K65/K$13</f>
        <v>147.27388300000001</v>
      </c>
      <c r="L65" s="44">
        <f>'Finansallar - 2008-2019'!L65/L$13</f>
        <v>199.46020899999999</v>
      </c>
      <c r="M65" s="44">
        <f>'Finansallar - 2008-2019'!M65/M$13</f>
        <v>59.846886000000005</v>
      </c>
      <c r="N65" s="44">
        <f>'Finansallar - 2008-2019'!N65/N$13</f>
        <v>120.83620500000001</v>
      </c>
      <c r="O65" s="44">
        <f>'Finansallar - 2008-2019'!O65/O$13</f>
        <v>174.27853800000003</v>
      </c>
      <c r="P65" s="44">
        <f>'Finansallar - 2008-2019'!P65/P$13</f>
        <v>216.66279200000002</v>
      </c>
      <c r="Q65" s="44">
        <f>'Finansallar - 2008-2019'!Q65/Q$13</f>
        <v>54.192929999999997</v>
      </c>
      <c r="R65" s="44">
        <f>'Finansallar - 2008-2019'!R65/R$13</f>
        <v>108.168386</v>
      </c>
      <c r="S65" s="44">
        <f>'Finansallar - 2008-2019'!S65/S$13</f>
        <v>146.02596199999999</v>
      </c>
      <c r="T65" s="44">
        <f>'Finansallar - 2008-2019'!T65/T$13</f>
        <v>156.79041300000003</v>
      </c>
      <c r="U65" s="44">
        <f>'Finansallar - 2008-2019'!U65/U$13</f>
        <v>67.966062999999991</v>
      </c>
      <c r="V65" s="44">
        <f>'Finansallar - 2008-2019'!V65/V$13</f>
        <v>11.056443142241138</v>
      </c>
      <c r="W65" s="44">
        <f>'Finansallar - 2008-2019'!W65/W$13</f>
        <v>31.674444999999999</v>
      </c>
      <c r="X65" s="44">
        <f>'Finansallar - 2008-2019'!X65/X$13</f>
        <v>5.2540300000000002</v>
      </c>
      <c r="Y65" s="44">
        <f>'Finansallar - 2008-2019'!Y65/Y$13</f>
        <v>76.311749300099279</v>
      </c>
      <c r="Z65" s="44">
        <f>'Finansallar - 2008-2019'!Z65/Z$13</f>
        <v>116.04789865458422</v>
      </c>
      <c r="AA65" s="44">
        <f>'Finansallar - 2008-2019'!AA65/AA$13</f>
        <v>154.96345637894331</v>
      </c>
      <c r="AB65" s="44">
        <f>'Finansallar - 2008-2019'!AB65/AB$13</f>
        <v>85.982163274639831</v>
      </c>
      <c r="AC65" s="44">
        <f>'Finansallar - 2008-2019'!AC65/AC$13</f>
        <v>30.116804362866784</v>
      </c>
      <c r="AD65" s="44">
        <f>'Finansallar - 2008-2019'!AD65/AD$13</f>
        <v>61.313681000000003</v>
      </c>
      <c r="AE65" s="44">
        <f>'Finansallar - 2008-2019'!AE65/AE$13</f>
        <v>92.989985693848368</v>
      </c>
      <c r="AF65" s="44">
        <f>'Finansallar - 2008-2019'!AF65/AF$13</f>
        <v>108.12401162149241</v>
      </c>
      <c r="AG65" s="44">
        <f>'Finansallar - 2008-2019'!AG65/AG$13</f>
        <v>63.585977081845613</v>
      </c>
      <c r="AH65" s="44">
        <f>'Finansallar - 2008-2019'!AH65/AH$13</f>
        <v>102.464011</v>
      </c>
      <c r="AI65" s="44">
        <f>'Finansallar - 2008-2019'!AI65/AI$13</f>
        <v>119.07605172472606</v>
      </c>
      <c r="AJ65" s="44">
        <f>'Finansallar - 2008-2019'!AJ65/AJ$13</f>
        <v>175.27583579072905</v>
      </c>
      <c r="AK65" s="44">
        <f>'Finansallar - 2008-2019'!AK65/AK$13</f>
        <v>60.387781629116098</v>
      </c>
      <c r="AL65" s="44">
        <f>'Finansallar - 2008-2019'!AL65/AL$13</f>
        <v>133.40301463307281</v>
      </c>
      <c r="AM65" s="44">
        <f>'Finansallar - 2008-2019'!AM65/AM$13</f>
        <v>190.06010685663412</v>
      </c>
      <c r="AN65" s="44">
        <f>'Finansallar - 2008-2019'!AN65/AN$13</f>
        <v>275.75799149403247</v>
      </c>
      <c r="AO65" s="44">
        <f>'Finansallar - 2008-2019'!AO65/AO$13</f>
        <v>77.571271066309762</v>
      </c>
      <c r="AP65" s="44">
        <f>'Finansallar - 2008-2019'!AP65/AP$13</f>
        <v>145.12971120900619</v>
      </c>
      <c r="AQ65" s="44">
        <f>'Finansallar - 2008-2019'!AQ65/AQ$13</f>
        <v>213.38548457192528</v>
      </c>
      <c r="AR65" s="44">
        <f>'Finansallar - 2008-2019'!AR65/AR$13</f>
        <v>310.7985341918386</v>
      </c>
      <c r="AS65" s="44">
        <f>'Finansallar - 2008-2019'!AS65/AS$13</f>
        <v>175.76982602696319</v>
      </c>
      <c r="AT65" s="44">
        <f>'Finansallar - 2008-2019'!AT65/AT$13</f>
        <v>248.65348684093453</v>
      </c>
      <c r="AU65" s="44">
        <f>'Finansallar - 2008-2019'!AU65/AU$13</f>
        <v>319.3565621782804</v>
      </c>
      <c r="AV65" s="44">
        <f>'Finansallar - 2008-2019'!AV65/AV$13</f>
        <v>338.737480603753</v>
      </c>
    </row>
    <row r="66" spans="1:48" ht="15" customHeight="1" x14ac:dyDescent="0.2">
      <c r="B66" s="24" t="s">
        <v>58</v>
      </c>
      <c r="C66" s="3">
        <f>'Finansallar - 2008-2019'!C66/C$13</f>
        <v>13.9434</v>
      </c>
      <c r="D66" s="3">
        <f>'Finansallar - 2008-2019'!D66/D$13</f>
        <v>-2.3117999999999999</v>
      </c>
      <c r="E66" s="3">
        <f>'Finansallar - 2008-2019'!E66/E$13</f>
        <v>4.2480883602378903</v>
      </c>
      <c r="F66" s="3">
        <f>'Finansallar - 2008-2019'!F66/F$13</f>
        <v>4.3597229046834549</v>
      </c>
      <c r="G66" s="3">
        <f>'Finansallar - 2008-2019'!G66/G$13</f>
        <v>19.13862</v>
      </c>
      <c r="H66" s="3">
        <f>'Finansallar - 2008-2019'!H66/H$13</f>
        <v>16.174025</v>
      </c>
      <c r="I66" s="3">
        <f>'Finansallar - 2008-2019'!I66/I$13</f>
        <v>6.6581000000000001</v>
      </c>
      <c r="J66" s="3">
        <f>'Finansallar - 2008-2019'!J66/J$13</f>
        <v>10.551743999999999</v>
      </c>
      <c r="K66" s="3">
        <f>'Finansallar - 2008-2019'!K66/K$13</f>
        <v>21.133472000000001</v>
      </c>
      <c r="L66" s="3">
        <f>'Finansallar - 2008-2019'!L66/L$13</f>
        <v>26.016549000000001</v>
      </c>
      <c r="M66" s="3">
        <f>'Finansallar - 2008-2019'!M66/M$13</f>
        <v>1.2733380000000001</v>
      </c>
      <c r="N66" s="3">
        <f>'Finansallar - 2008-2019'!N66/N$13</f>
        <v>15.344280000000001</v>
      </c>
      <c r="O66" s="3">
        <f>'Finansallar - 2008-2019'!O66/O$13</f>
        <v>28.428414000000004</v>
      </c>
      <c r="P66" s="3">
        <f>'Finansallar - 2008-2019'!P66/P$13</f>
        <v>43.093152000000003</v>
      </c>
      <c r="Q66" s="3">
        <f>'Finansallar - 2008-2019'!Q66/Q$13</f>
        <v>20.671530000000001</v>
      </c>
      <c r="R66" s="3">
        <f>'Finansallar - 2008-2019'!R66/R$13</f>
        <v>25.648173999999997</v>
      </c>
      <c r="S66" s="3">
        <f>'Finansallar - 2008-2019'!S66/S$13</f>
        <v>41.243974000000001</v>
      </c>
      <c r="T66" s="3">
        <f>'Finansallar - 2008-2019'!T66/T$13</f>
        <v>13.391352000000001</v>
      </c>
      <c r="U66" s="3">
        <f>'Finansallar - 2008-2019'!U66/U$13</f>
        <v>17.974495999999998</v>
      </c>
      <c r="V66" s="3">
        <f>'Finansallar - 2008-2019'!V66/V$13</f>
        <v>-57.493504339653924</v>
      </c>
      <c r="W66" s="3">
        <f>'Finansallar - 2008-2019'!W66/W$13</f>
        <v>-61.738325000000003</v>
      </c>
      <c r="X66" s="3">
        <f>'Finansallar - 2008-2019'!X66/X$13</f>
        <v>-114.012451</v>
      </c>
      <c r="Y66" s="3">
        <f>'Finansallar - 2008-2019'!Y66/Y$13</f>
        <v>10.837171498238952</v>
      </c>
      <c r="Z66" s="3">
        <f>'Finansallar - 2008-2019'!Z66/Z$13</f>
        <v>19.418373480049947</v>
      </c>
      <c r="AA66" s="3">
        <f>'Finansallar - 2008-2019'!AA66/AA$13</f>
        <v>29.604958830604097</v>
      </c>
      <c r="AB66" s="3">
        <f>'Finansallar - 2008-2019'!AB66/AB$13</f>
        <v>-90.098330665447051</v>
      </c>
      <c r="AC66" s="3">
        <f>'Finansallar - 2008-2019'!AC66/AC$13</f>
        <v>5.6977737983802017</v>
      </c>
      <c r="AD66" s="3">
        <f>'Finansallar - 2008-2019'!AD66/AD$13</f>
        <v>6.6390609999999999</v>
      </c>
      <c r="AE66" s="3">
        <f>'Finansallar - 2008-2019'!AE66/AE$13</f>
        <v>12.04728559596416</v>
      </c>
      <c r="AF66" s="3">
        <f>'Finansallar - 2008-2019'!AF66/AF$13</f>
        <v>15.446287374498917</v>
      </c>
      <c r="AG66" s="3">
        <f>'Finansallar - 2008-2019'!AG66/AG$13</f>
        <v>11.561086742153748</v>
      </c>
      <c r="AH66" s="3">
        <f>'Finansallar - 2008-2019'!AH66/AH$13</f>
        <v>17.134450000000001</v>
      </c>
      <c r="AI66" s="3">
        <f>'Finansallar - 2008-2019'!AI66/AI$13</f>
        <v>4.5750452079565953</v>
      </c>
      <c r="AJ66" s="3">
        <f>'Finansallar - 2008-2019'!AJ66/AJ$13</f>
        <v>26.838076935820517</v>
      </c>
      <c r="AK66" s="3">
        <f>'Finansallar - 2008-2019'!AK66/AK$13</f>
        <v>7.853119584055456</v>
      </c>
      <c r="AL66" s="3">
        <f>'Finansallar - 2008-2019'!AL66/AL$13</f>
        <v>44.009241940807527</v>
      </c>
      <c r="AM66" s="3">
        <f>'Finansallar - 2008-2019'!AM66/AM$13</f>
        <v>61.990483081032984</v>
      </c>
      <c r="AN66" s="3">
        <f>'Finansallar - 2008-2019'!AN66/AN$13</f>
        <v>107.1713540952121</v>
      </c>
      <c r="AO66" s="3">
        <f>'Finansallar - 2008-2019'!AO66/AO$13</f>
        <v>34.152359951698479</v>
      </c>
      <c r="AP66" s="3">
        <f>'Finansallar - 2008-2019'!AP66/AP$13</f>
        <v>68.284630445423318</v>
      </c>
      <c r="AQ66" s="3">
        <f>'Finansallar - 2008-2019'!AQ66/AQ$13</f>
        <v>102.58865710560627</v>
      </c>
      <c r="AR66" s="3">
        <f>'Finansallar - 2008-2019'!AR66/AR$13</f>
        <v>148.20666238794223</v>
      </c>
      <c r="AS66" s="3">
        <f>'Finansallar - 2008-2019'!AS66/AS$13</f>
        <v>116.50096030132963</v>
      </c>
      <c r="AT66" s="3">
        <f>'Finansallar - 2008-2019'!AT66/AT$13</f>
        <v>152.94855597273875</v>
      </c>
      <c r="AU66" s="3">
        <f>'Finansallar - 2008-2019'!AU66/AU$13</f>
        <v>188.51450175725049</v>
      </c>
      <c r="AV66" s="3">
        <f>'Finansallar - 2008-2019'!AV66/AV$13</f>
        <v>173.57437579348323</v>
      </c>
    </row>
    <row r="67" spans="1:48" ht="15" customHeight="1" x14ac:dyDescent="0.2">
      <c r="B67" s="24" t="s">
        <v>74</v>
      </c>
      <c r="C67" s="3">
        <f>'Finansallar - 2008-2019'!C67/C$13</f>
        <v>141.0744</v>
      </c>
      <c r="D67" s="3">
        <f>'Finansallar - 2008-2019'!D67/D$13</f>
        <v>56.253799999999991</v>
      </c>
      <c r="E67" s="3">
        <f>'Finansallar - 2008-2019'!E67/E$13</f>
        <v>5.4618278917344307</v>
      </c>
      <c r="F67" s="3">
        <f>'Finansallar - 2008-2019'!F67/F$13</f>
        <v>-6.2281755781192212</v>
      </c>
      <c r="G67" s="3">
        <f>'Finansallar - 2008-2019'!G67/G$13</f>
        <v>2.5518160000000001</v>
      </c>
      <c r="H67" s="3">
        <f>'Finansallar - 2008-2019'!H67/H$13</f>
        <v>8.4104930000000007</v>
      </c>
      <c r="I67" s="3">
        <f>'Finansallar - 2008-2019'!I67/I$13</f>
        <v>35.953739999999996</v>
      </c>
      <c r="J67" s="3">
        <f>'Finansallar - 2008-2019'!J67/J$13</f>
        <v>49.461299999999994</v>
      </c>
      <c r="K67" s="3">
        <f>'Finansallar - 2008-2019'!K67/K$13</f>
        <v>61.419153000000009</v>
      </c>
      <c r="L67" s="3">
        <f>'Finansallar - 2008-2019'!L67/L$13</f>
        <v>77.382555999999994</v>
      </c>
      <c r="M67" s="3">
        <f>'Finansallar - 2008-2019'!M67/M$13</f>
        <v>44.566830000000003</v>
      </c>
      <c r="N67" s="3">
        <f>'Finansallar - 2008-2019'!N67/N$13</f>
        <v>69.688604999999995</v>
      </c>
      <c r="O67" s="3">
        <f>'Finansallar - 2008-2019'!O67/O$13</f>
        <v>79.723161000000005</v>
      </c>
      <c r="P67" s="3">
        <f>'Finansallar - 2008-2019'!P67/P$13</f>
        <v>81.99669200000001</v>
      </c>
      <c r="Q67" s="3">
        <f>'Finansallar - 2008-2019'!Q67/Q$13</f>
        <v>24.582360000000001</v>
      </c>
      <c r="R67" s="3">
        <f>'Finansallar - 2008-2019'!R67/R$13</f>
        <v>45.163088999999999</v>
      </c>
      <c r="S67" s="3">
        <f>'Finansallar - 2008-2019'!S67/S$13</f>
        <v>51.276292000000005</v>
      </c>
      <c r="T67" s="3">
        <f>'Finansallar - 2008-2019'!T67/T$13</f>
        <v>64.724868000000015</v>
      </c>
      <c r="U67" s="3">
        <f>'Finansallar - 2008-2019'!U67/U$13</f>
        <v>29.208555999999998</v>
      </c>
      <c r="V67" s="3">
        <f>'Finansallar - 2008-2019'!V67/V$13</f>
        <v>18.24313118469788</v>
      </c>
      <c r="W67" s="3">
        <f>'Finansallar - 2008-2019'!W67/W$13</f>
        <v>17.716214999999998</v>
      </c>
      <c r="X67" s="3">
        <f>'Finansallar - 2008-2019'!X67/X$13</f>
        <v>33.100389</v>
      </c>
      <c r="Y67" s="3">
        <f>'Finansallar - 2008-2019'!Y67/Y$13</f>
        <v>45.606430055088921</v>
      </c>
      <c r="Z67" s="3">
        <f>'Finansallar - 2008-2019'!Z67/Z$13</f>
        <v>53.16935595727962</v>
      </c>
      <c r="AA67" s="3">
        <f>'Finansallar - 2008-2019'!AA67/AA$13</f>
        <v>69.386622259228346</v>
      </c>
      <c r="AB67" s="3">
        <f>'Finansallar - 2008-2019'!AB67/AB$13</f>
        <v>99.702721243997246</v>
      </c>
      <c r="AC67" s="3">
        <f>'Finansallar - 2008-2019'!AC67/AC$13</f>
        <v>19.942208294330708</v>
      </c>
      <c r="AD67" s="3">
        <f>'Finansallar - 2008-2019'!AD67/AD$13</f>
        <v>24.994112000000001</v>
      </c>
      <c r="AE67" s="3">
        <f>'Finansallar - 2008-2019'!AE67/AE$13</f>
        <v>16.56501769445072</v>
      </c>
      <c r="AF67" s="3">
        <f>'Finansallar - 2008-2019'!AF67/AF$13</f>
        <v>27.582656025890923</v>
      </c>
      <c r="AG67" s="3">
        <f>'Finansallar - 2008-2019'!AG67/AG$13</f>
        <v>38.083579856506468</v>
      </c>
      <c r="AH67" s="3">
        <f>'Finansallar - 2008-2019'!AH67/AH$13</f>
        <v>56.200995999999996</v>
      </c>
      <c r="AI67" s="3">
        <f>'Finansallar - 2008-2019'!AI67/AI$13</f>
        <v>59.085946296359417</v>
      </c>
      <c r="AJ67" s="3">
        <f>'Finansallar - 2008-2019'!AJ67/AJ$13</f>
        <v>46.38679964215892</v>
      </c>
      <c r="AK67" s="3">
        <f>'Finansallar - 2008-2019'!AK67/AK$13</f>
        <v>31.141681109185431</v>
      </c>
      <c r="AL67" s="3">
        <f>'Finansallar - 2008-2019'!AL67/AL$13</f>
        <v>57.212014523049781</v>
      </c>
      <c r="AM67" s="3">
        <f>'Finansallar - 2008-2019'!AM67/AM$13</f>
        <v>77.425979519145187</v>
      </c>
      <c r="AN67" s="3">
        <f>'Finansallar - 2008-2019'!AN67/AN$13</f>
        <v>95.116476882974467</v>
      </c>
      <c r="AO67" s="3">
        <f>'Finansallar - 2008-2019'!AO67/AO$13</f>
        <v>23.100750774400201</v>
      </c>
      <c r="AP67" s="3">
        <f>'Finansallar - 2008-2019'!AP67/AP$13</f>
        <v>35.56412139011254</v>
      </c>
      <c r="AQ67" s="3">
        <f>'Finansallar - 2008-2019'!AQ67/AQ$13</f>
        <v>44.68926553672317</v>
      </c>
      <c r="AR67" s="3">
        <f>'Finansallar - 2008-2019'!AR67/AR$13</f>
        <v>96.066748100453381</v>
      </c>
      <c r="AS67" s="3">
        <f>'Finansallar - 2008-2019'!AS67/AS$13</f>
        <v>21.747002554588025</v>
      </c>
      <c r="AT67" s="3">
        <f>'Finansallar - 2008-2019'!AT67/AT$13</f>
        <v>48.349022189796599</v>
      </c>
      <c r="AU67" s="3">
        <f>'Finansallar - 2008-2019'!AU67/AU$13</f>
        <v>59.343249671624704</v>
      </c>
      <c r="AV67" s="3">
        <f>'Finansallar - 2008-2019'!AV67/AV$13</f>
        <v>67.97520806883918</v>
      </c>
    </row>
    <row r="68" spans="1:48" ht="15" customHeight="1" x14ac:dyDescent="0.2">
      <c r="B68" s="52" t="s">
        <v>184</v>
      </c>
      <c r="C68" s="13">
        <f>'Finansallar - 2008-2019'!C68/C$13</f>
        <v>134.5128</v>
      </c>
      <c r="D68" s="13">
        <f>'Finansallar - 2008-2019'!D68/D$13</f>
        <v>47.777199999999993</v>
      </c>
      <c r="E68" s="13">
        <f>'Finansallar - 2008-2019'!E68/E$13</f>
        <v>3.64121859448962</v>
      </c>
      <c r="F68" s="13">
        <f>'Finansallar - 2008-2019'!F68/F$13</f>
        <v>-11.210716040614598</v>
      </c>
      <c r="G68" s="13">
        <f>'Finansallar - 2008-2019'!G68/G$13</f>
        <v>-5.7415859999999999</v>
      </c>
      <c r="H68" s="13">
        <f>'Finansallar - 2008-2019'!H68/H$13</f>
        <v>-3.2348050000000002</v>
      </c>
      <c r="I68" s="13">
        <f>'Finansallar - 2008-2019'!I68/I$13</f>
        <v>32.624690000000001</v>
      </c>
      <c r="J68" s="13">
        <f>'Finansallar - 2008-2019'!J68/J$13</f>
        <v>42.206975999999997</v>
      </c>
      <c r="K68" s="13">
        <f>'Finansallar - 2008-2019'!K68/K$13</f>
        <v>50.191996000000003</v>
      </c>
      <c r="L68" s="13">
        <f>'Finansallar - 2008-2019'!L68/L$13</f>
        <v>63.373644999999996</v>
      </c>
      <c r="M68" s="13">
        <f>'Finansallar - 2008-2019'!M68/M$13</f>
        <v>41.383485</v>
      </c>
      <c r="N68" s="13">
        <f>'Finansallar - 2008-2019'!N68/N$13</f>
        <v>63.9345</v>
      </c>
      <c r="O68" s="13">
        <f>'Finansallar - 2008-2019'!O68/O$13</f>
        <v>71.071035000000009</v>
      </c>
      <c r="P68" s="13">
        <f>'Finansallar - 2008-2019'!P68/P$13</f>
        <v>71.821920000000006</v>
      </c>
      <c r="Q68" s="13">
        <f>'Finansallar - 2008-2019'!Q68/Q$13</f>
        <v>22.906289999999998</v>
      </c>
      <c r="R68" s="13">
        <f>'Finansallar - 2008-2019'!R68/R$13</f>
        <v>40.702537</v>
      </c>
      <c r="S68" s="13">
        <f>'Finansallar - 2008-2019'!S68/S$13</f>
        <v>44.588079999999998</v>
      </c>
      <c r="T68" s="13">
        <f>'Finansallar - 2008-2019'!T68/T$13</f>
        <v>54.681354000000006</v>
      </c>
      <c r="U68" s="13">
        <f>'Finansallar - 2008-2019'!U68/U$13</f>
        <v>25.838337999999997</v>
      </c>
      <c r="V68" s="13">
        <f>'Finansallar - 2008-2019'!V68/V$13</f>
        <v>12.714909613577309</v>
      </c>
      <c r="W68" s="13">
        <f>'Finansallar - 2008-2019'!W68/W$13</f>
        <v>8.5896799999999995</v>
      </c>
      <c r="X68" s="13">
        <f>'Finansallar - 2008-2019'!X68/X$13</f>
        <v>21.016120000000001</v>
      </c>
      <c r="Y68" s="13">
        <f>'Finansallar - 2008-2019'!Y68/Y$13</f>
        <v>41.542490743249317</v>
      </c>
      <c r="Z68" s="13">
        <f>'Finansallar - 2008-2019'!Z68/Z$13</f>
        <v>47.158907022978447</v>
      </c>
      <c r="AA68" s="13">
        <f>'Finansallar - 2008-2019'!AA68/AA$13</f>
        <v>60.135072624664573</v>
      </c>
      <c r="AB68" s="13">
        <f>'Finansallar - 2008-2019'!AB68/AB$13</f>
        <v>85.067459410015999</v>
      </c>
      <c r="AC68" s="13">
        <f>'Finansallar - 2008-2019'!AC68/AC$13</f>
        <v>15.058402181433392</v>
      </c>
      <c r="AD68" s="13">
        <f>'Finansallar - 2008-2019'!AD68/AD$13</f>
        <v>16.402386</v>
      </c>
      <c r="AE68" s="13">
        <f>'Finansallar - 2008-2019'!AE68/AE$13</f>
        <v>2.6353437241171602</v>
      </c>
      <c r="AF68" s="13">
        <f>'Finansallar - 2008-2019'!AF68/AF$13</f>
        <v>7.7231436872494585</v>
      </c>
      <c r="AG68" s="13">
        <f>'Finansallar - 2008-2019'!AG68/AG$13</f>
        <v>31.96300452242507</v>
      </c>
      <c r="AH68" s="13">
        <f>'Finansallar - 2008-2019'!AH68/AH$13</f>
        <v>44.549570000000003</v>
      </c>
      <c r="AI68" s="13">
        <f>'Finansallar - 2008-2019'!AI68/AI$13</f>
        <v>42.649015660718504</v>
      </c>
      <c r="AJ68" s="13">
        <f>'Finansallar - 2008-2019'!AJ68/AJ$13</f>
        <v>24.187402670554295</v>
      </c>
      <c r="AK68" s="13">
        <f>'Finansallar - 2008-2019'!AK68/AK$13</f>
        <v>25.725736568457528</v>
      </c>
      <c r="AL68" s="13">
        <f>'Finansallar - 2008-2019'!AL68/AL$13</f>
        <v>46.209704037847899</v>
      </c>
      <c r="AM68" s="13">
        <f>'Finansallar - 2008-2019'!AM68/AM$13</f>
        <v>60.385129118432801</v>
      </c>
      <c r="AN68" s="13">
        <f>'Finansallar - 2008-2019'!AN68/AN$13</f>
        <v>70.242831664151552</v>
      </c>
      <c r="AO68" s="13">
        <f>'Finansallar - 2008-2019'!AO68/AO$13</f>
        <v>20.738173990654726</v>
      </c>
      <c r="AP68" s="13">
        <f>'Finansallar - 2008-2019'!AP68/AP$13</f>
        <v>26.43171806167398</v>
      </c>
      <c r="AQ68" s="13">
        <f>'Finansallar - 2008-2019'!AQ68/AQ$13</f>
        <v>26.2929161234246</v>
      </c>
      <c r="AR68" s="13">
        <f>'Finansallar - 2008-2019'!AR68/AR$13</f>
        <v>79.501459597109758</v>
      </c>
      <c r="AS68" s="13">
        <f>'Finansallar - 2008-2019'!AS68/AS$13</f>
        <v>20.697756810680811</v>
      </c>
      <c r="AT68" s="13">
        <f>'Finansallar - 2008-2019'!AT68/AT$13</f>
        <v>41.995124294891177</v>
      </c>
      <c r="AU68" s="13">
        <f>'Finansallar - 2008-2019'!AU68/AU$13</f>
        <v>52.362526181262979</v>
      </c>
      <c r="AV68" s="13">
        <f>'Finansallar - 2008-2019'!AV68/AV$13</f>
        <v>58.365072647764265</v>
      </c>
    </row>
    <row r="69" spans="1:48" ht="15" customHeight="1" x14ac:dyDescent="0.2">
      <c r="B69" s="52" t="s">
        <v>169</v>
      </c>
      <c r="C69" s="13">
        <f>'Finansallar - 2008-2019'!C69/C$13</f>
        <v>6.5616000000000003</v>
      </c>
      <c r="D69" s="13">
        <f>'Finansallar - 2008-2019'!D69/D$13</f>
        <v>8.4765999999999995</v>
      </c>
      <c r="E69" s="13">
        <f>'Finansallar - 2008-2019'!E69/E$13</f>
        <v>1.82060929724481</v>
      </c>
      <c r="F69" s="13">
        <f>'Finansallar - 2008-2019'!F69/F$13</f>
        <v>4.9825404624953764</v>
      </c>
      <c r="G69" s="13">
        <f>'Finansallar - 2008-2019'!G69/G$13</f>
        <v>8.2934020000000004</v>
      </c>
      <c r="H69" s="13">
        <f>'Finansallar - 2008-2019'!H69/H$13</f>
        <v>11.645298</v>
      </c>
      <c r="I69" s="13">
        <f>'Finansallar - 2008-2019'!I69/I$13</f>
        <v>3.3290500000000001</v>
      </c>
      <c r="J69" s="13">
        <f>'Finansallar - 2008-2019'!J69/J$13</f>
        <v>7.2543239999999996</v>
      </c>
      <c r="K69" s="13">
        <f>'Finansallar - 2008-2019'!K69/K$13</f>
        <v>11.227157000000002</v>
      </c>
      <c r="L69" s="13">
        <f>'Finansallar - 2008-2019'!L69/L$13</f>
        <v>14.008910999999999</v>
      </c>
      <c r="M69" s="13">
        <f>'Finansallar - 2008-2019'!M69/M$13</f>
        <v>3.1833450000000001</v>
      </c>
      <c r="N69" s="13">
        <f>'Finansallar - 2008-2019'!N69/N$13</f>
        <v>5.754105</v>
      </c>
      <c r="O69" s="13">
        <f>'Finansallar - 2008-2019'!O69/O$13</f>
        <v>8.6521260000000009</v>
      </c>
      <c r="P69" s="13">
        <f>'Finansallar - 2008-2019'!P69/P$13</f>
        <v>10.174772000000001</v>
      </c>
      <c r="Q69" s="13">
        <f>'Finansallar - 2008-2019'!Q69/Q$13</f>
        <v>1.6760699999999999</v>
      </c>
      <c r="R69" s="13">
        <f>'Finansallar - 2008-2019'!R69/R$13</f>
        <v>4.4605519999999999</v>
      </c>
      <c r="S69" s="13">
        <f>'Finansallar - 2008-2019'!S69/S$13</f>
        <v>6.688212</v>
      </c>
      <c r="T69" s="13">
        <f>'Finansallar - 2008-2019'!T69/T$13</f>
        <v>10.043514000000002</v>
      </c>
      <c r="U69" s="13">
        <f>'Finansallar - 2008-2019'!U69/U$13</f>
        <v>3.3702179999999995</v>
      </c>
      <c r="V69" s="13">
        <f>'Finansallar - 2008-2019'!V69/V$13</f>
        <v>5.5282215711205689</v>
      </c>
      <c r="W69" s="13">
        <f>'Finansallar - 2008-2019'!W69/W$13</f>
        <v>9.1265350000000005</v>
      </c>
      <c r="X69" s="13">
        <f>'Finansallar - 2008-2019'!X69/X$13</f>
        <v>12.084268999999999</v>
      </c>
      <c r="Y69" s="13">
        <f>'Finansallar - 2008-2019'!Y69/Y$13</f>
        <v>4.063939311839607</v>
      </c>
      <c r="Z69" s="13">
        <f>'Finansallar - 2008-2019'!Z69/Z$13</f>
        <v>6.0104489343011744</v>
      </c>
      <c r="AA69" s="13">
        <f>'Finansallar - 2008-2019'!AA69/AA$13</f>
        <v>9.25154963456378</v>
      </c>
      <c r="AB69" s="13">
        <f>'Finansallar - 2008-2019'!AB69/AB$13</f>
        <v>14.635261833981248</v>
      </c>
      <c r="AC69" s="13">
        <f>'Finansallar - 2008-2019'!AC69/AC$13</f>
        <v>4.8838061128973163</v>
      </c>
      <c r="AD69" s="13">
        <f>'Finansallar - 2008-2019'!AD69/AD$13</f>
        <v>8.5917259999999995</v>
      </c>
      <c r="AE69" s="13">
        <f>'Finansallar - 2008-2019'!AE69/AE$13</f>
        <v>13.92967397033356</v>
      </c>
      <c r="AF69" s="13">
        <f>'Finansallar - 2008-2019'!AF69/AF$13</f>
        <v>19.859512338641466</v>
      </c>
      <c r="AG69" s="13">
        <f>'Finansallar - 2008-2019'!AG69/AG$13</f>
        <v>6.120575334081396</v>
      </c>
      <c r="AH69" s="13">
        <f>'Finansallar - 2008-2019'!AH69/AH$13</f>
        <v>11.651426000000001</v>
      </c>
      <c r="AI69" s="13">
        <f>'Finansallar - 2008-2019'!AI69/AI$13</f>
        <v>16.377222013715905</v>
      </c>
      <c r="AJ69" s="13">
        <f>'Finansallar - 2008-2019'!AJ69/AJ$13</f>
        <v>22.199396971604624</v>
      </c>
      <c r="AK69" s="13">
        <f>'Finansallar - 2008-2019'!AK69/AK$13</f>
        <v>5.4159445407279012</v>
      </c>
      <c r="AL69" s="13">
        <f>'Finansallar - 2008-2019'!AL69/AL$13</f>
        <v>11.002310485201882</v>
      </c>
      <c r="AM69" s="13">
        <f>'Finansallar - 2008-2019'!AM69/AM$13</f>
        <v>18.644256455921649</v>
      </c>
      <c r="AN69" s="13">
        <f>'Finansallar - 2008-2019'!AN69/AN$13</f>
        <v>25.517903690492556</v>
      </c>
      <c r="AO69" s="13">
        <f>'Finansallar - 2008-2019'!AO69/AO$13</f>
        <v>4.4626450359636749</v>
      </c>
      <c r="AP69" s="13">
        <f>'Finansallar - 2008-2019'!AP69/AP$13</f>
        <v>9.0553108174253438</v>
      </c>
      <c r="AQ69" s="13">
        <f>'Finansallar - 2008-2019'!AQ69/AQ$13</f>
        <v>13.906996957844417</v>
      </c>
      <c r="AR69" s="13">
        <f>'Finansallar - 2008-2019'!AR69/AR$13</f>
        <v>16.976874184799481</v>
      </c>
      <c r="AS69" s="13">
        <f>'Finansallar - 2008-2019'!AS69/AS$13</f>
        <v>1.8646627757370098</v>
      </c>
      <c r="AT69" s="13">
        <f>'Finansallar - 2008-2019'!AT69/AT$13</f>
        <v>5.5163086997526554</v>
      </c>
      <c r="AU69" s="13">
        <f>'Finansallar - 2008-2019'!AU69/AU$13</f>
        <v>7.2775036387518037</v>
      </c>
      <c r="AV69" s="13">
        <f>'Finansallar - 2008-2019'!AV69/AV$13</f>
        <v>11.990407673860936</v>
      </c>
    </row>
    <row r="70" spans="1:48" ht="15" customHeight="1" x14ac:dyDescent="0.2">
      <c r="B70" s="52" t="s">
        <v>183</v>
      </c>
      <c r="C70" s="13">
        <f>'Finansallar - 2008-2019'!C70/C$13</f>
        <v>0</v>
      </c>
      <c r="D70" s="13">
        <f>'Finansallar - 2008-2019'!D70/D$13</f>
        <v>0</v>
      </c>
      <c r="E70" s="13">
        <f>'Finansallar - 2008-2019'!E70/E$13</f>
        <v>0</v>
      </c>
      <c r="F70" s="13">
        <f>'Finansallar - 2008-2019'!F70/F$13</f>
        <v>0</v>
      </c>
      <c r="G70" s="13">
        <f>'Finansallar - 2008-2019'!G70/G$13</f>
        <v>0</v>
      </c>
      <c r="H70" s="13">
        <f>'Finansallar - 2008-2019'!H70/H$13</f>
        <v>0</v>
      </c>
      <c r="I70" s="13">
        <f>'Finansallar - 2008-2019'!I70/I$13</f>
        <v>0</v>
      </c>
      <c r="J70" s="13">
        <f>'Finansallar - 2008-2019'!J70/J$13</f>
        <v>0</v>
      </c>
      <c r="K70" s="13">
        <f>'Finansallar - 2008-2019'!K70/K$13</f>
        <v>0</v>
      </c>
      <c r="L70" s="13">
        <f>'Finansallar - 2008-2019'!L70/L$13</f>
        <v>0</v>
      </c>
      <c r="M70" s="13">
        <f>'Finansallar - 2008-2019'!M70/M$13</f>
        <v>0</v>
      </c>
      <c r="N70" s="13">
        <f>'Finansallar - 2008-2019'!N70/N$13</f>
        <v>0</v>
      </c>
      <c r="O70" s="13">
        <f>'Finansallar - 2008-2019'!O70/O$13</f>
        <v>0</v>
      </c>
      <c r="P70" s="13">
        <f>'Finansallar - 2008-2019'!P70/P$13</f>
        <v>0</v>
      </c>
      <c r="Q70" s="13">
        <f>'Finansallar - 2008-2019'!Q70/Q$13</f>
        <v>0</v>
      </c>
      <c r="R70" s="13">
        <f>'Finansallar - 2008-2019'!R70/R$13</f>
        <v>0</v>
      </c>
      <c r="S70" s="13">
        <f>'Finansallar - 2008-2019'!S70/S$13</f>
        <v>0</v>
      </c>
      <c r="T70" s="13">
        <f>'Finansallar - 2008-2019'!T70/T$13</f>
        <v>0</v>
      </c>
      <c r="U70" s="13">
        <f>'Finansallar - 2008-2019'!U70/U$13</f>
        <v>0</v>
      </c>
      <c r="V70" s="13">
        <f>'Finansallar - 2008-2019'!V70/V$13</f>
        <v>0</v>
      </c>
      <c r="W70" s="13">
        <f>'Finansallar - 2008-2019'!W70/W$13</f>
        <v>0</v>
      </c>
      <c r="X70" s="13">
        <f>'Finansallar - 2008-2019'!X70/X$13</f>
        <v>0</v>
      </c>
      <c r="Y70" s="13">
        <f>'Finansallar - 2008-2019'!Y70/Y$13</f>
        <v>0</v>
      </c>
      <c r="Z70" s="13">
        <f>'Finansallar - 2008-2019'!Z70/Z$13</f>
        <v>0</v>
      </c>
      <c r="AA70" s="13">
        <f>'Finansallar - 2008-2019'!AA70/AA$13</f>
        <v>0</v>
      </c>
      <c r="AB70" s="13">
        <f>'Finansallar - 2008-2019'!AB70/AB$13</f>
        <v>0</v>
      </c>
      <c r="AC70" s="13">
        <f>'Finansallar - 2008-2019'!AC70/AC$13</f>
        <v>0</v>
      </c>
      <c r="AD70" s="13">
        <f>'Finansallar - 2008-2019'!AD70/AD$13</f>
        <v>0</v>
      </c>
      <c r="AE70" s="13">
        <f>'Finansallar - 2008-2019'!AE70/AE$13</f>
        <v>0</v>
      </c>
      <c r="AF70" s="13">
        <f>'Finansallar - 2008-2019'!AF70/AF$13</f>
        <v>0</v>
      </c>
      <c r="AG70" s="13">
        <f>'Finansallar - 2008-2019'!AG70/AG$13</f>
        <v>0</v>
      </c>
      <c r="AH70" s="13">
        <f>'Finansallar - 2008-2019'!AH70/AH$13</f>
        <v>0</v>
      </c>
      <c r="AI70" s="13">
        <f>'Finansallar - 2008-2019'!AI70/AI$13</f>
        <v>0</v>
      </c>
      <c r="AJ70" s="13">
        <f>'Finansallar - 2008-2019'!AJ70/AJ$13</f>
        <v>0</v>
      </c>
      <c r="AK70" s="13">
        <f>'Finansallar - 2008-2019'!AK70/AK$13</f>
        <v>0</v>
      </c>
      <c r="AL70" s="13">
        <f>'Finansallar - 2008-2019'!AL70/AL$13</f>
        <v>-1.6503465727802822</v>
      </c>
      <c r="AM70" s="13">
        <f>'Finansallar - 2008-2019'!AM70/AM$13</f>
        <v>-1.9479073909171871</v>
      </c>
      <c r="AN70" s="13">
        <f>'Finansallar - 2008-2019'!AN70/AN$13</f>
        <v>-1.6463163671285519</v>
      </c>
      <c r="AO70" s="13">
        <f>'Finansallar - 2008-2019'!AO70/AO$13</f>
        <v>-2.1000682522181999</v>
      </c>
      <c r="AP70" s="13">
        <f>'Finansallar - 2008-2019'!AP70/AP$13</f>
        <v>-1.4684287812041099</v>
      </c>
      <c r="AQ70" s="13">
        <f>'Finansallar - 2008-2019'!AQ70/AQ$13</f>
        <v>4.5632333767926996</v>
      </c>
      <c r="AR70" s="13">
        <f>'Finansallar - 2008-2019'!AR70/AR$13</f>
        <v>-0.41407010206828004</v>
      </c>
      <c r="AS70" s="13">
        <f>'Finansallar - 2008-2019'!AS70/AS$13</f>
        <v>-0.74586511029480396</v>
      </c>
      <c r="AT70" s="13">
        <f>'Finansallar - 2008-2019'!AT70/AT$13</f>
        <v>1.2456180934925349</v>
      </c>
      <c r="AU70" s="13">
        <f>'Finansallar - 2008-2019'!AU70/AU$13</f>
        <v>-0.177500088750044</v>
      </c>
      <c r="AV70" s="13">
        <f>'Finansallar - 2008-2019'!AV70/AV$13</f>
        <v>-2.468613344618428</v>
      </c>
    </row>
    <row r="71" spans="1:48" ht="15" customHeight="1" x14ac:dyDescent="0.2">
      <c r="B71" s="24" t="s">
        <v>75</v>
      </c>
      <c r="C71" s="3">
        <f>'Finansallar - 2008-2019'!C71/C$13</f>
        <v>-8.202</v>
      </c>
      <c r="D71" s="3">
        <f>'Finansallar - 2008-2019'!D71/D$13</f>
        <v>-10.788399999999999</v>
      </c>
      <c r="E71" s="3">
        <f>'Finansallar - 2008-2019'!E71/E$13</f>
        <v>-1.21373953149654</v>
      </c>
      <c r="F71" s="3">
        <f>'Finansallar - 2008-2019'!F71/F$13</f>
        <v>3.1140877890596106</v>
      </c>
      <c r="G71" s="3">
        <f>'Finansallar - 2008-2019'!G71/G$13</f>
        <v>3.8277240000000003</v>
      </c>
      <c r="H71" s="3">
        <f>'Finansallar - 2008-2019'!H71/H$13</f>
        <v>4.5287269999999999</v>
      </c>
      <c r="I71" s="3">
        <f>'Finansallar - 2008-2019'!I71/I$13</f>
        <v>0</v>
      </c>
      <c r="J71" s="3">
        <f>'Finansallar - 2008-2019'!J71/J$13</f>
        <v>0.65948399999999996</v>
      </c>
      <c r="K71" s="3">
        <f>'Finansallar - 2008-2019'!K71/K$13</f>
        <v>1.3208420000000001</v>
      </c>
      <c r="L71" s="3">
        <f>'Finansallar - 2008-2019'!L71/L$13</f>
        <v>2.0012729999999999</v>
      </c>
      <c r="M71" s="3">
        <f>'Finansallar - 2008-2019'!M71/M$13</f>
        <v>0.63666900000000004</v>
      </c>
      <c r="N71" s="3">
        <f>'Finansallar - 2008-2019'!N71/N$13</f>
        <v>1.2786900000000001</v>
      </c>
      <c r="O71" s="3">
        <f>'Finansallar - 2008-2019'!O71/O$13</f>
        <v>3.0900450000000004</v>
      </c>
      <c r="P71" s="3">
        <f>'Finansallar - 2008-2019'!P71/P$13</f>
        <v>4.1896120000000003</v>
      </c>
      <c r="Q71" s="3">
        <f>'Finansallar - 2008-2019'!Q71/Q$13</f>
        <v>0</v>
      </c>
      <c r="R71" s="3">
        <f>'Finansallar - 2008-2019'!R71/R$13</f>
        <v>0</v>
      </c>
      <c r="S71" s="3">
        <f>'Finansallar - 2008-2019'!S71/S$13</f>
        <v>1.1147020000000001</v>
      </c>
      <c r="T71" s="3">
        <f>'Finansallar - 2008-2019'!T71/T$13</f>
        <v>1.1159460000000001</v>
      </c>
      <c r="U71" s="3">
        <f>'Finansallar - 2008-2019'!U71/U$13</f>
        <v>0.56170299999999995</v>
      </c>
      <c r="V71" s="3">
        <f>'Finansallar - 2008-2019'!V71/V$13</f>
        <v>-0.55282215711205696</v>
      </c>
      <c r="W71" s="3">
        <f>'Finansallar - 2008-2019'!W71/W$13</f>
        <v>-0.53685499999999997</v>
      </c>
      <c r="X71" s="3">
        <f>'Finansallar - 2008-2019'!X71/X$13</f>
        <v>-0.52540299999999995</v>
      </c>
      <c r="Y71" s="3">
        <f>'Finansallar - 2008-2019'!Y71/Y$13</f>
        <v>0</v>
      </c>
      <c r="Z71" s="3">
        <f>'Finansallar - 2008-2019'!Z71/Z$13</f>
        <v>0</v>
      </c>
      <c r="AA71" s="3">
        <f>'Finansallar - 2008-2019'!AA71/AA$13</f>
        <v>-0.92515496345637804</v>
      </c>
      <c r="AB71" s="3">
        <f>'Finansallar - 2008-2019'!AB71/AB$13</f>
        <v>-1.829407729247656</v>
      </c>
      <c r="AC71" s="3">
        <f>'Finansallar - 2008-2019'!AC71/AC$13</f>
        <v>0</v>
      </c>
      <c r="AD71" s="3">
        <f>'Finansallar - 2008-2019'!AD71/AD$13</f>
        <v>-0.39053300000000002</v>
      </c>
      <c r="AE71" s="3">
        <f>'Finansallar - 2008-2019'!AE71/AE$13</f>
        <v>-0.37647767487388001</v>
      </c>
      <c r="AF71" s="3">
        <f>'Finansallar - 2008-2019'!AF71/AF$13</f>
        <v>-0.73553749402375801</v>
      </c>
      <c r="AG71" s="3">
        <f>'Finansallar - 2008-2019'!AG71/AG$13</f>
        <v>-0.68006392600904397</v>
      </c>
      <c r="AH71" s="3">
        <f>'Finansallar - 2008-2019'!AH71/AH$13</f>
        <v>-2.0561340000000001</v>
      </c>
      <c r="AI71" s="3">
        <f>'Finansallar - 2008-2019'!AI71/AI$13</f>
        <v>-2.5858951175406841</v>
      </c>
      <c r="AJ71" s="3">
        <f>'Finansallar - 2008-2019'!AJ71/AJ$13</f>
        <v>3.6446771147410582</v>
      </c>
      <c r="AK71" s="3">
        <f>'Finansallar - 2008-2019'!AK71/AK$13</f>
        <v>0.27079722703639503</v>
      </c>
      <c r="AL71" s="3">
        <f>'Finansallar - 2008-2019'!AL71/AL$13</f>
        <v>3.0256353834305174</v>
      </c>
      <c r="AM71" s="3">
        <f>'Finansallar - 2008-2019'!AM71/AM$13</f>
        <v>-7.8751113089937694E-2</v>
      </c>
      <c r="AN71" s="3">
        <f>'Finansallar - 2008-2019'!AN71/AN$13</f>
        <v>-3.80518589655646</v>
      </c>
      <c r="AO71" s="3">
        <f>'Finansallar - 2008-2019'!AO71/AO$13</f>
        <v>-2.4413293432036576</v>
      </c>
      <c r="AP71" s="3">
        <f>'Finansallar - 2008-2019'!AP71/AP$13</f>
        <v>-4.661037689672046</v>
      </c>
      <c r="AQ71" s="3">
        <f>'Finansallar - 2008-2019'!AQ71/AQ$13</f>
        <v>-5.5304215558452858</v>
      </c>
      <c r="AR71" s="3">
        <f>'Finansallar - 2008-2019'!AR71/AR$13</f>
        <v>-5.1237034429928974</v>
      </c>
      <c r="AS71" s="3">
        <f>'Finansallar - 2008-2019'!AS71/AS$13</f>
        <v>1.3022804825747276</v>
      </c>
      <c r="AT71" s="3">
        <f>'Finansallar - 2008-2019'!AT71/AT$13</f>
        <v>-0.13310319056177375</v>
      </c>
      <c r="AU71" s="3">
        <f>'Finansallar - 2008-2019'!AU71/AU$13</f>
        <v>8.5732542866271244E-2</v>
      </c>
      <c r="AV71" s="73"/>
    </row>
    <row r="72" spans="1:48" ht="15" customHeight="1" x14ac:dyDescent="0.2">
      <c r="B72" s="24" t="s">
        <v>76</v>
      </c>
      <c r="C72" s="3">
        <f>'Finansallar - 2008-2019'!C72/C$13</f>
        <v>31.9878</v>
      </c>
      <c r="D72" s="3">
        <f>'Finansallar - 2008-2019'!D72/D$13</f>
        <v>27.741599999999998</v>
      </c>
      <c r="E72" s="3">
        <f>'Finansallar - 2008-2019'!E72/E$13</f>
        <v>-4.8549581259861601</v>
      </c>
      <c r="F72" s="3">
        <f>'Finansallar - 2008-2019'!F72/F$13</f>
        <v>6.8509931359311427</v>
      </c>
      <c r="G72" s="3">
        <f>'Finansallar - 2008-2019'!G72/G$13</f>
        <v>10.207264</v>
      </c>
      <c r="H72" s="3">
        <f>'Finansallar - 2008-2019'!H72/H$13</f>
        <v>15.527063999999999</v>
      </c>
      <c r="I72" s="3">
        <f>'Finansallar - 2008-2019'!I72/I$13</f>
        <v>1.33162</v>
      </c>
      <c r="J72" s="3">
        <f>'Finansallar - 2008-2019'!J72/J$13</f>
        <v>9.2327759999999994</v>
      </c>
      <c r="K72" s="3">
        <f>'Finansallar - 2008-2019'!K72/K$13</f>
        <v>13.208420000000002</v>
      </c>
      <c r="L72" s="3">
        <f>'Finansallar - 2008-2019'!L72/L$13</f>
        <v>12.674728999999999</v>
      </c>
      <c r="M72" s="3">
        <f>'Finansallar - 2008-2019'!M72/M$13</f>
        <v>2.5466760000000002</v>
      </c>
      <c r="N72" s="3">
        <f>'Finansallar - 2008-2019'!N72/N$13</f>
        <v>5.754105</v>
      </c>
      <c r="O72" s="3">
        <f>'Finansallar - 2008-2019'!O72/O$13</f>
        <v>10.506153000000001</v>
      </c>
      <c r="P72" s="3">
        <f>'Finansallar - 2008-2019'!P72/P$13</f>
        <v>16.758448000000001</v>
      </c>
      <c r="Q72" s="3">
        <f>'Finansallar - 2008-2019'!Q72/Q$13</f>
        <v>6.1455900000000003</v>
      </c>
      <c r="R72" s="3">
        <f>'Finansallar - 2008-2019'!R72/R$13</f>
        <v>12.266518</v>
      </c>
      <c r="S72" s="3">
        <f>'Finansallar - 2008-2019'!S72/S$13</f>
        <v>16.163179</v>
      </c>
      <c r="T72" s="3">
        <f>'Finansallar - 2008-2019'!T72/T$13</f>
        <v>88.717707000000019</v>
      </c>
      <c r="U72" s="3">
        <f>'Finansallar - 2008-2019'!U72/U$13</f>
        <v>34.825585999999994</v>
      </c>
      <c r="V72" s="3">
        <f>'Finansallar - 2008-2019'!V72/V$13</f>
        <v>42.567306097628382</v>
      </c>
      <c r="W72" s="3">
        <f>'Finansallar - 2008-2019'!W72/W$13</f>
        <v>47.780095000000003</v>
      </c>
      <c r="X72" s="3">
        <f>'Finansallar - 2008-2019'!X72/X$13</f>
        <v>48.337075999999996</v>
      </c>
      <c r="Y72" s="3">
        <f>'Finansallar - 2008-2019'!Y72/Y$13</f>
        <v>7.6763298112525904</v>
      </c>
      <c r="Z72" s="3">
        <f>'Finansallar - 2008-2019'!Z72/Z$13</f>
        <v>12.483240094317823</v>
      </c>
      <c r="AA72" s="3">
        <f>'Finansallar - 2008-2019'!AA72/AA$13</f>
        <v>18.965676750855749</v>
      </c>
      <c r="AB72" s="3">
        <f>'Finansallar - 2008-2019'!AB72/AB$13</f>
        <v>18.751429224788474</v>
      </c>
      <c r="AC72" s="3">
        <f>'Finansallar - 2008-2019'!AC72/AC$13</f>
        <v>9.3606283830531893</v>
      </c>
      <c r="AD72" s="3">
        <f>'Finansallar - 2008-2019'!AD72/AD$13</f>
        <v>14.059188000000001</v>
      </c>
      <c r="AE72" s="3">
        <f>'Finansallar - 2008-2019'!AE72/AE$13</f>
        <v>31.247647014532042</v>
      </c>
      <c r="AF72" s="3">
        <f>'Finansallar - 2008-2019'!AF72/AF$13</f>
        <v>28.685962266926559</v>
      </c>
      <c r="AG72" s="3">
        <f>'Finansallar - 2008-2019'!AG72/AG$13</f>
        <v>2.0401917780271321</v>
      </c>
      <c r="AH72" s="3">
        <f>'Finansallar - 2008-2019'!AH72/AH$13</f>
        <v>5.4830240000000003</v>
      </c>
      <c r="AI72" s="3">
        <f>'Finansallar - 2008-2019'!AI72/AI$13</f>
        <v>12.038281756457048</v>
      </c>
      <c r="AJ72" s="3">
        <f>'Finansallar - 2008-2019'!AJ72/AJ$13</f>
        <v>32.802094032669523</v>
      </c>
      <c r="AK72" s="3">
        <f>'Finansallar - 2008-2019'!AK72/AK$13</f>
        <v>4.3327556325823204</v>
      </c>
      <c r="AL72" s="3">
        <f>'Finansallar - 2008-2019'!AL72/AL$13</f>
        <v>1.6503465727802822</v>
      </c>
      <c r="AM72" s="3">
        <f>'Finansallar - 2008-2019'!AM72/AM$13</f>
        <v>4.2798308103294769</v>
      </c>
      <c r="AN72" s="3">
        <f>'Finansallar - 2008-2019'!AN72/AN$13</f>
        <v>12.994375085745659</v>
      </c>
      <c r="AO72" s="3">
        <f>'Finansallar - 2008-2019'!AO72/AO$13</f>
        <v>8.452774715178256</v>
      </c>
      <c r="AP72" s="3">
        <f>'Finansallar - 2008-2019'!AP72/AP$13</f>
        <v>28.172050905531052</v>
      </c>
      <c r="AQ72" s="3">
        <f>'Finansallar - 2008-2019'!AQ72/AQ$13</f>
        <v>71.570404172099103</v>
      </c>
      <c r="AR72" s="3">
        <f>'Finansallar - 2008-2019'!AR72/AR$13</f>
        <v>45.891803482329543</v>
      </c>
      <c r="AS72" s="3">
        <f>'Finansallar - 2008-2019'!AS72/AS$13</f>
        <v>6.0622051501985936</v>
      </c>
      <c r="AT72" s="3">
        <f>'Finansallar - 2008-2019'!AT72/AT$13</f>
        <v>8.6974393650906627</v>
      </c>
      <c r="AU72" s="3">
        <f>'Finansallar - 2008-2019'!AU72/AU$13</f>
        <v>7.0085910042954866</v>
      </c>
      <c r="AV72" s="3">
        <f>'Finansallar - 2008-2019'!AV72/AV$13</f>
        <v>7.9318310057836241</v>
      </c>
    </row>
    <row r="73" spans="1:48" ht="15" customHeight="1" x14ac:dyDescent="0.2">
      <c r="A73" s="55" t="s">
        <v>164</v>
      </c>
      <c r="B73" s="43" t="s">
        <v>79</v>
      </c>
      <c r="C73" s="44">
        <f>'Finansallar - 2008-2019'!C73/C$13</f>
        <v>178.80360000000002</v>
      </c>
      <c r="D73" s="44">
        <f>'Finansallar - 2008-2019'!D73/D$13</f>
        <v>70.124599999999987</v>
      </c>
      <c r="E73" s="44">
        <f>'Finansallar - 2008-2019'!E73/E$13</f>
        <v>3.64121859448962</v>
      </c>
      <c r="F73" s="44">
        <f>'Finansallar - 2008-2019'!F73/F$13</f>
        <v>7.4738106937430651</v>
      </c>
      <c r="G73" s="44">
        <f>'Finansallar - 2008-2019'!G73/G$13</f>
        <v>36.363378000000004</v>
      </c>
      <c r="H73" s="44">
        <f>'Finansallar - 2008-2019'!H73/H$13</f>
        <v>44.640309000000002</v>
      </c>
      <c r="I73" s="44">
        <f>'Finansallar - 2008-2019'!I73/I$13</f>
        <v>44.609269999999995</v>
      </c>
      <c r="J73" s="44">
        <f>'Finansallar - 2008-2019'!J73/J$13</f>
        <v>69.905304000000001</v>
      </c>
      <c r="K73" s="44">
        <f>'Finansallar - 2008-2019'!K73/K$13</f>
        <v>97.081887000000009</v>
      </c>
      <c r="L73" s="44">
        <f>'Finansallar - 2008-2019'!L73/L$13</f>
        <v>118.742198</v>
      </c>
      <c r="M73" s="44">
        <f>'Finansallar - 2008-2019'!M73/M$13</f>
        <v>48.386844000000004</v>
      </c>
      <c r="N73" s="44">
        <f>'Finansallar - 2008-2019'!N73/N$13</f>
        <v>91.426335000000009</v>
      </c>
      <c r="O73" s="44">
        <f>'Finansallar - 2008-2019'!O73/O$13</f>
        <v>121.74777300000001</v>
      </c>
      <c r="P73" s="44">
        <f>'Finansallar - 2008-2019'!P73/P$13</f>
        <v>145.43938800000001</v>
      </c>
      <c r="Q73" s="44">
        <f>'Finansallar - 2008-2019'!Q73/Q$13</f>
        <v>51.399479999999997</v>
      </c>
      <c r="R73" s="44">
        <f>'Finansallar - 2008-2019'!R73/R$13</f>
        <v>83.635350000000003</v>
      </c>
      <c r="S73" s="44">
        <f>'Finansallar - 2008-2019'!S73/S$13</f>
        <v>110.355498</v>
      </c>
      <c r="T73" s="44">
        <f>'Finansallar - 2008-2019'!T73/T$13</f>
        <v>167.39190000000002</v>
      </c>
      <c r="U73" s="44">
        <f>'Finansallar - 2008-2019'!U73/U$13</f>
        <v>82.570340999999985</v>
      </c>
      <c r="V73" s="44">
        <f>'Finansallar - 2008-2019'!V73/V$13</f>
        <v>3.3169329426723415</v>
      </c>
      <c r="W73" s="44">
        <f>'Finansallar - 2008-2019'!W73/W$13</f>
        <v>3.22113</v>
      </c>
      <c r="X73" s="44">
        <f>'Finansallar - 2008-2019'!X73/X$13</f>
        <v>-33.625791999999997</v>
      </c>
      <c r="Y73" s="44">
        <f>'Finansallar - 2008-2019'!Y73/Y$13</f>
        <v>64.119931364580466</v>
      </c>
      <c r="Z73" s="44">
        <f>'Finansallar - 2008-2019'!Z73/Z$13</f>
        <v>85.070969531647393</v>
      </c>
      <c r="AA73" s="44">
        <f>'Finansallar - 2008-2019'!AA73/AA$13</f>
        <v>117.03210287723182</v>
      </c>
      <c r="AB73" s="44">
        <f>'Finansallar - 2008-2019'!AB73/AB$13</f>
        <v>26.526412074091013</v>
      </c>
      <c r="AC73" s="44">
        <f>'Finansallar - 2008-2019'!AC73/AC$13</f>
        <v>34.593626633022659</v>
      </c>
      <c r="AD73" s="44">
        <f>'Finansallar - 2008-2019'!AD73/AD$13</f>
        <v>44.911295000000003</v>
      </c>
      <c r="AE73" s="44">
        <f>'Finansallar - 2008-2019'!AE73/AE$13</f>
        <v>59.483472630073045</v>
      </c>
      <c r="AF73" s="44">
        <f>'Finansallar - 2008-2019'!AF73/AF$13</f>
        <v>70.979368173292642</v>
      </c>
      <c r="AG73" s="44">
        <f>'Finansallar - 2008-2019'!AG73/AG$13</f>
        <v>51.004794450678304</v>
      </c>
      <c r="AH73" s="44">
        <f>'Finansallar - 2008-2019'!AH73/AH$13</f>
        <v>76.762336000000005</v>
      </c>
      <c r="AI73" s="44">
        <f>'Finansallar - 2008-2019'!AI73/AI$13</f>
        <v>73.113378143232367</v>
      </c>
      <c r="AJ73" s="44">
        <f>'Finansallar - 2008-2019'!AJ73/AJ$13</f>
        <v>109.34031344223173</v>
      </c>
      <c r="AK73" s="44">
        <f>'Finansallar - 2008-2019'!AK73/AK$13</f>
        <v>43.598353552859599</v>
      </c>
      <c r="AL73" s="44">
        <f>'Finansallar - 2008-2019'!AL73/AL$13</f>
        <v>105.89723842006811</v>
      </c>
      <c r="AM73" s="44">
        <f>'Finansallar - 2008-2019'!AM73/AM$13</f>
        <v>143.61754229741771</v>
      </c>
      <c r="AN73" s="44">
        <f>'Finansallar - 2008-2019'!AN73/AN$13</f>
        <v>211.47702016737574</v>
      </c>
      <c r="AO73" s="44">
        <f>'Finansallar - 2008-2019'!AO73/AO$13</f>
        <v>63.290806951226003</v>
      </c>
      <c r="AP73" s="44">
        <f>'Finansallar - 2008-2019'!AP73/AP$13</f>
        <v>127.35976505139487</v>
      </c>
      <c r="AQ73" s="44">
        <f>'Finansallar - 2008-2019'!AQ73/AQ$13</f>
        <v>210.33116036505905</v>
      </c>
      <c r="AR73" s="44">
        <f>'Finansallar - 2008-2019'!AR73/AR$13</f>
        <v>290.16521397072518</v>
      </c>
      <c r="AS73" s="44">
        <f>'Finansallar - 2008-2019'!AS73/AS$13</f>
        <v>145.61244848869097</v>
      </c>
      <c r="AT73" s="44">
        <f>'Finansallar - 2008-2019'!AT73/AT$13</f>
        <v>209.86191433706423</v>
      </c>
      <c r="AU73" s="44">
        <f>'Finansallar - 2008-2019'!AU73/AU$13</f>
        <v>254.95207497603693</v>
      </c>
      <c r="AV73" s="44">
        <f>'Finansallar - 2008-2019'!AV73/AV$13</f>
        <v>249.48141486810601</v>
      </c>
    </row>
    <row r="76" spans="1:48" ht="20.100000000000001" customHeight="1" x14ac:dyDescent="0.2">
      <c r="B76" s="32" t="s">
        <v>152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</row>
    <row r="77" spans="1:48" x14ac:dyDescent="0.2">
      <c r="B77" s="34" t="s">
        <v>244</v>
      </c>
      <c r="C77" s="35" t="s">
        <v>1</v>
      </c>
      <c r="D77" s="35" t="s">
        <v>2</v>
      </c>
      <c r="E77" s="35" t="s">
        <v>7</v>
      </c>
      <c r="F77" s="35" t="s">
        <v>8</v>
      </c>
      <c r="G77" s="35" t="s">
        <v>9</v>
      </c>
      <c r="H77" s="35" t="s">
        <v>10</v>
      </c>
      <c r="I77" s="35" t="s">
        <v>11</v>
      </c>
      <c r="J77" s="35" t="s">
        <v>12</v>
      </c>
      <c r="K77" s="35" t="s">
        <v>13</v>
      </c>
      <c r="L77" s="35" t="s">
        <v>14</v>
      </c>
      <c r="M77" s="35" t="s">
        <v>15</v>
      </c>
      <c r="N77" s="35" t="s">
        <v>16</v>
      </c>
      <c r="O77" s="35" t="s">
        <v>17</v>
      </c>
      <c r="P77" s="35" t="s">
        <v>18</v>
      </c>
      <c r="Q77" s="35" t="s">
        <v>19</v>
      </c>
      <c r="R77" s="35" t="s">
        <v>20</v>
      </c>
      <c r="S77" s="35" t="s">
        <v>21</v>
      </c>
      <c r="T77" s="35" t="s">
        <v>22</v>
      </c>
      <c r="U77" s="35" t="s">
        <v>23</v>
      </c>
      <c r="V77" s="35" t="s">
        <v>24</v>
      </c>
      <c r="W77" s="35" t="s">
        <v>25</v>
      </c>
      <c r="X77" s="35" t="s">
        <v>26</v>
      </c>
      <c r="Y77" s="35" t="s">
        <v>27</v>
      </c>
      <c r="Z77" s="35" t="s">
        <v>28</v>
      </c>
      <c r="AA77" s="35" t="s">
        <v>29</v>
      </c>
      <c r="AB77" s="35" t="s">
        <v>30</v>
      </c>
      <c r="AC77" s="35" t="s">
        <v>31</v>
      </c>
      <c r="AD77" s="35" t="s">
        <v>32</v>
      </c>
      <c r="AE77" s="35" t="s">
        <v>33</v>
      </c>
      <c r="AF77" s="35" t="s">
        <v>34</v>
      </c>
      <c r="AG77" s="35" t="s">
        <v>35</v>
      </c>
      <c r="AH77" s="35" t="s">
        <v>36</v>
      </c>
      <c r="AI77" s="35" t="s">
        <v>37</v>
      </c>
      <c r="AJ77" s="35" t="s">
        <v>38</v>
      </c>
      <c r="AK77" s="35" t="s">
        <v>39</v>
      </c>
      <c r="AL77" s="35" t="s">
        <v>40</v>
      </c>
      <c r="AM77" s="35" t="s">
        <v>41</v>
      </c>
      <c r="AN77" s="35" t="s">
        <v>170</v>
      </c>
      <c r="AO77" s="35" t="s">
        <v>172</v>
      </c>
      <c r="AP77" s="35" t="s">
        <v>173</v>
      </c>
      <c r="AQ77" s="35" t="s">
        <v>175</v>
      </c>
      <c r="AR77" s="35" t="s">
        <v>182</v>
      </c>
      <c r="AS77" s="35" t="s">
        <v>186</v>
      </c>
      <c r="AT77" s="35" t="s">
        <v>188</v>
      </c>
      <c r="AU77" s="35" t="s">
        <v>191</v>
      </c>
      <c r="AV77" s="35" t="s">
        <v>193</v>
      </c>
    </row>
    <row r="78" spans="1:48" ht="15" customHeight="1" x14ac:dyDescent="0.2">
      <c r="B78" s="42" t="s">
        <v>58</v>
      </c>
      <c r="C78" s="10">
        <v>316</v>
      </c>
      <c r="D78" s="37">
        <f>+D50-C50</f>
        <v>277.42119999999989</v>
      </c>
      <c r="E78" s="132">
        <f>+E50</f>
        <v>195.41206457094296</v>
      </c>
      <c r="F78" s="37">
        <f t="shared" ref="F78:H81" si="70">+F50-E50</f>
        <v>207.55089533337065</v>
      </c>
      <c r="G78" s="37">
        <f t="shared" si="70"/>
        <v>238.81876409568645</v>
      </c>
      <c r="H78" s="37">
        <f t="shared" si="70"/>
        <v>225.79297699999995</v>
      </c>
      <c r="I78" s="132">
        <f>+I50</f>
        <v>155.79954000000001</v>
      </c>
      <c r="J78" s="37">
        <f t="shared" ref="J78:L81" si="71">+J50-I50</f>
        <v>183.83471999999998</v>
      </c>
      <c r="K78" s="37">
        <f t="shared" si="71"/>
        <v>174.17327800000004</v>
      </c>
      <c r="L78" s="37">
        <f t="shared" si="71"/>
        <v>227.33056299999998</v>
      </c>
      <c r="M78" s="132">
        <f>+M50</f>
        <v>183.99734100000001</v>
      </c>
      <c r="N78" s="37">
        <f t="shared" ref="N78:P81" si="72">+N50-M50</f>
        <v>264.82284900000002</v>
      </c>
      <c r="O78" s="37">
        <f t="shared" si="72"/>
        <v>266.83423200000004</v>
      </c>
      <c r="P78" s="37">
        <f t="shared" si="72"/>
        <v>399.97940199999994</v>
      </c>
      <c r="Q78" s="132">
        <f>+Q50</f>
        <v>293.87094000000002</v>
      </c>
      <c r="R78" s="37">
        <f t="shared" ref="R78:T81" si="73">+R50-Q50</f>
        <v>331.72147799999993</v>
      </c>
      <c r="S78" s="37">
        <f t="shared" si="73"/>
        <v>344.19832200000008</v>
      </c>
      <c r="T78" s="37">
        <f t="shared" si="73"/>
        <v>366.55459500000018</v>
      </c>
      <c r="U78" s="132">
        <f>+U50</f>
        <v>311.18346199999996</v>
      </c>
      <c r="V78" s="37">
        <f t="shared" ref="V78:X81" si="74">+V50-U50</f>
        <v>323.45637436464142</v>
      </c>
      <c r="W78" s="37">
        <f t="shared" si="74"/>
        <v>303.24584863535858</v>
      </c>
      <c r="X78" s="37">
        <f t="shared" si="74"/>
        <v>284.72709600000007</v>
      </c>
      <c r="Y78" s="132">
        <f>+Y50</f>
        <v>274.99322676781338</v>
      </c>
      <c r="Z78" s="37">
        <f t="shared" ref="Z78:AB81" si="75">+Z50-Y50</f>
        <v>313.10608434227078</v>
      </c>
      <c r="AA78" s="37">
        <f t="shared" si="75"/>
        <v>328.26668019345823</v>
      </c>
      <c r="AB78" s="37">
        <f t="shared" si="75"/>
        <v>349.58415733583547</v>
      </c>
      <c r="AC78" s="132">
        <f>+AC50</f>
        <v>197.38716372959985</v>
      </c>
      <c r="AD78" s="37">
        <f t="shared" ref="AD78:AF81" si="76">+AD50-AC50</f>
        <v>199.78489727040014</v>
      </c>
      <c r="AE78" s="37">
        <f t="shared" si="76"/>
        <v>167.92092898569388</v>
      </c>
      <c r="AF78" s="37">
        <f t="shared" si="76"/>
        <v>226.71312233088156</v>
      </c>
      <c r="AG78" s="132">
        <f>+AG50</f>
        <v>213.54007276683981</v>
      </c>
      <c r="AH78" s="37">
        <f t="shared" ref="AH78:AJ81" si="77">+AH50-AG50</f>
        <v>238.1240292331602</v>
      </c>
      <c r="AI78" s="37">
        <f t="shared" si="77"/>
        <v>222.14394331031343</v>
      </c>
      <c r="AJ78" s="37">
        <f t="shared" si="77"/>
        <v>261.8799703286636</v>
      </c>
      <c r="AK78" s="132">
        <f>+AK50</f>
        <v>246.69627383015589</v>
      </c>
      <c r="AL78" s="37">
        <f t="shared" ref="AL78:AN93" si="78">+AL50-AK50</f>
        <v>289.66636232343581</v>
      </c>
      <c r="AM78" s="37">
        <f t="shared" si="78"/>
        <v>320.07297159351469</v>
      </c>
      <c r="AN78" s="37">
        <f t="shared" si="78"/>
        <v>477.50320416125032</v>
      </c>
      <c r="AO78" s="132">
        <f>+AO50</f>
        <v>390.69144747204336</v>
      </c>
      <c r="AP78" s="37">
        <f t="shared" ref="AP78:AV93" si="79">+AP50-AO50</f>
        <v>489.81491571934077</v>
      </c>
      <c r="AQ78" s="37">
        <f t="shared" si="79"/>
        <v>443.0527415456869</v>
      </c>
      <c r="AR78" s="37">
        <f t="shared" si="79"/>
        <v>562.22110685275038</v>
      </c>
      <c r="AS78" s="132">
        <f>+AS50</f>
        <v>621.70989576535146</v>
      </c>
      <c r="AT78" s="37">
        <f t="shared" si="79"/>
        <v>443.05370371504762</v>
      </c>
      <c r="AU78" s="37">
        <f t="shared" si="79"/>
        <v>398.93195236737347</v>
      </c>
      <c r="AV78" s="37">
        <f>+AV50-AU50</f>
        <v>394.65382747230456</v>
      </c>
    </row>
    <row r="79" spans="1:48" ht="15" customHeight="1" x14ac:dyDescent="0.2">
      <c r="B79" s="24" t="s">
        <v>74</v>
      </c>
      <c r="C79" s="3">
        <v>211</v>
      </c>
      <c r="D79" s="3">
        <f>+D51-C51</f>
        <v>190.95439999999996</v>
      </c>
      <c r="E79" s="135">
        <f>+E51</f>
        <v>182.66779949022927</v>
      </c>
      <c r="F79" s="3">
        <f t="shared" si="70"/>
        <v>112.54772291262177</v>
      </c>
      <c r="G79" s="3">
        <f t="shared" si="70"/>
        <v>146.88659959714897</v>
      </c>
      <c r="H79" s="3">
        <f t="shared" si="70"/>
        <v>129.16444100000001</v>
      </c>
      <c r="I79" s="135">
        <f>+I51</f>
        <v>227.70702</v>
      </c>
      <c r="J79" s="3">
        <f t="shared" si="71"/>
        <v>119.841048</v>
      </c>
      <c r="K79" s="3">
        <f t="shared" si="71"/>
        <v>158.99483900000007</v>
      </c>
      <c r="L79" s="3">
        <f t="shared" si="71"/>
        <v>178.55954999999989</v>
      </c>
      <c r="M79" s="135">
        <f>+M51</f>
        <v>236.20419900000002</v>
      </c>
      <c r="N79" s="3">
        <f t="shared" si="72"/>
        <v>165.304461</v>
      </c>
      <c r="O79" s="3">
        <f t="shared" si="72"/>
        <v>168.91364700000003</v>
      </c>
      <c r="P79" s="3">
        <f t="shared" si="72"/>
        <v>152.58502099999998</v>
      </c>
      <c r="Q79" s="135">
        <f>+Q51</f>
        <v>251.96919</v>
      </c>
      <c r="R79" s="3">
        <f t="shared" si="73"/>
        <v>192.97087200000001</v>
      </c>
      <c r="S79" s="3">
        <f t="shared" si="73"/>
        <v>149.75345500000003</v>
      </c>
      <c r="T79" s="3">
        <f t="shared" si="73"/>
        <v>199.86003500000004</v>
      </c>
      <c r="U79" s="135">
        <f>+U51</f>
        <v>267.93233099999998</v>
      </c>
      <c r="V79" s="3">
        <f t="shared" si="74"/>
        <v>154.42379703361149</v>
      </c>
      <c r="W79" s="3">
        <f t="shared" si="74"/>
        <v>141.34162196638857</v>
      </c>
      <c r="X79" s="3">
        <f t="shared" si="74"/>
        <v>183.95071899999994</v>
      </c>
      <c r="Y79" s="135">
        <f>+Y51</f>
        <v>232.09608958728421</v>
      </c>
      <c r="Z79" s="3">
        <f t="shared" si="75"/>
        <v>147.02453549940526</v>
      </c>
      <c r="AA79" s="3">
        <f t="shared" si="75"/>
        <v>150.5305914920869</v>
      </c>
      <c r="AB79" s="3">
        <f t="shared" si="75"/>
        <v>214.00302536039578</v>
      </c>
      <c r="AC79" s="135">
        <f>+AC51</f>
        <v>238.4925318464856</v>
      </c>
      <c r="AD79" s="3">
        <f t="shared" si="76"/>
        <v>143.44874215351442</v>
      </c>
      <c r="AE79" s="3">
        <f t="shared" si="76"/>
        <v>101.45606053806193</v>
      </c>
      <c r="AF79" s="3">
        <f t="shared" si="76"/>
        <v>126.73101675464522</v>
      </c>
      <c r="AG79" s="135">
        <f>+AG51</f>
        <v>248.56336495630558</v>
      </c>
      <c r="AH79" s="3">
        <f t="shared" si="77"/>
        <v>125.31033404369441</v>
      </c>
      <c r="AI79" s="3">
        <f t="shared" si="77"/>
        <v>101.56729182193129</v>
      </c>
      <c r="AJ79" s="3">
        <f t="shared" si="77"/>
        <v>137.85876730404124</v>
      </c>
      <c r="AK79" s="135">
        <f>+AK51</f>
        <v>183.05892547660304</v>
      </c>
      <c r="AL79" s="3">
        <f t="shared" si="78"/>
        <v>134.9078475457313</v>
      </c>
      <c r="AM79" s="3">
        <f t="shared" si="78"/>
        <v>142.41612991622333</v>
      </c>
      <c r="AN79" s="3">
        <f t="shared" si="78"/>
        <v>154.36095767332404</v>
      </c>
      <c r="AO79" s="135">
        <f>+AO51</f>
        <v>195.22759489683443</v>
      </c>
      <c r="AP79" s="3">
        <f t="shared" si="79"/>
        <v>158.41851376689499</v>
      </c>
      <c r="AQ79" s="3">
        <f t="shared" si="79"/>
        <v>114.74567751619247</v>
      </c>
      <c r="AR79" s="3">
        <f t="shared" si="79"/>
        <v>145.37604471384822</v>
      </c>
      <c r="AS79" s="135">
        <f>+AS51</f>
        <v>231.47755878349426</v>
      </c>
      <c r="AT79" s="3">
        <f t="shared" si="79"/>
        <v>177.55637541228128</v>
      </c>
      <c r="AU79" s="3">
        <f t="shared" si="79"/>
        <v>126.19166841702457</v>
      </c>
      <c r="AV79" s="3">
        <f t="shared" si="79"/>
        <v>167.14497151613352</v>
      </c>
    </row>
    <row r="80" spans="1:48" ht="15" customHeight="1" x14ac:dyDescent="0.2">
      <c r="B80" s="52" t="s">
        <v>184</v>
      </c>
      <c r="C80" s="13">
        <v>202</v>
      </c>
      <c r="D80" s="13">
        <f>+D52-C52</f>
        <v>183.1952</v>
      </c>
      <c r="E80" s="137">
        <f>+E52</f>
        <v>175.9922320669983</v>
      </c>
      <c r="F80" s="13">
        <f t="shared" si="70"/>
        <v>104.27566894836664</v>
      </c>
      <c r="G80" s="13">
        <f t="shared" si="70"/>
        <v>136.95401498463508</v>
      </c>
      <c r="H80" s="13">
        <f t="shared" si="70"/>
        <v>119.75571399999995</v>
      </c>
      <c r="I80" s="137">
        <f>+I52</f>
        <v>219.05149</v>
      </c>
      <c r="J80" s="13">
        <f t="shared" si="71"/>
        <v>109.37154199999998</v>
      </c>
      <c r="K80" s="13">
        <f t="shared" si="71"/>
        <v>149.06135100000006</v>
      </c>
      <c r="L80" s="13">
        <f t="shared" si="71"/>
        <v>168.92679599999991</v>
      </c>
      <c r="M80" s="137">
        <f>+M52</f>
        <v>227.927502</v>
      </c>
      <c r="N80" s="13">
        <f t="shared" si="72"/>
        <v>155.67949800000002</v>
      </c>
      <c r="O80" s="13">
        <f t="shared" si="72"/>
        <v>160.24092000000002</v>
      </c>
      <c r="P80" s="13">
        <f t="shared" si="72"/>
        <v>145.64251200000001</v>
      </c>
      <c r="Q80" s="137">
        <f>+Q52</f>
        <v>244.70622</v>
      </c>
      <c r="R80" s="13">
        <f t="shared" si="73"/>
        <v>183.50677199999998</v>
      </c>
      <c r="S80" s="13">
        <f t="shared" si="73"/>
        <v>140.28502800000001</v>
      </c>
      <c r="T80" s="13">
        <f t="shared" si="73"/>
        <v>188.6713410000001</v>
      </c>
      <c r="U80" s="137">
        <f>+U52</f>
        <v>258.38337999999999</v>
      </c>
      <c r="V80" s="13">
        <f t="shared" si="74"/>
        <v>145.72961684891362</v>
      </c>
      <c r="W80" s="13">
        <f t="shared" si="74"/>
        <v>131.13143815108634</v>
      </c>
      <c r="X80" s="13">
        <f t="shared" si="74"/>
        <v>176.15122700000006</v>
      </c>
      <c r="Y80" s="137">
        <f>+Y52</f>
        <v>222.61356452632512</v>
      </c>
      <c r="Z80" s="13">
        <f t="shared" si="75"/>
        <v>140.78742488603822</v>
      </c>
      <c r="AA80" s="13">
        <f t="shared" si="75"/>
        <v>139.88331070790628</v>
      </c>
      <c r="AB80" s="13">
        <f t="shared" si="75"/>
        <v>201.4950275723898</v>
      </c>
      <c r="AC80" s="137">
        <f>+AC52</f>
        <v>227.50396809246664</v>
      </c>
      <c r="AD80" s="13">
        <f t="shared" si="76"/>
        <v>133.73905690753335</v>
      </c>
      <c r="AE80" s="13">
        <f t="shared" si="76"/>
        <v>89.777229498908298</v>
      </c>
      <c r="AF80" s="13">
        <f t="shared" si="76"/>
        <v>113.87254091133781</v>
      </c>
      <c r="AG80" s="137">
        <f>+AG52</f>
        <v>236.32221428814279</v>
      </c>
      <c r="AH80" s="13">
        <f t="shared" si="77"/>
        <v>114.24863271185723</v>
      </c>
      <c r="AI80" s="13">
        <f t="shared" si="77"/>
        <v>90.931763119757932</v>
      </c>
      <c r="AJ80" s="13">
        <f t="shared" si="77"/>
        <v>126.7356854966888</v>
      </c>
      <c r="AK80" s="137">
        <f>+AK52</f>
        <v>172.49783362218363</v>
      </c>
      <c r="AL80" s="13">
        <f t="shared" si="78"/>
        <v>124.28949171613709</v>
      </c>
      <c r="AM80" s="13">
        <f t="shared" si="78"/>
        <v>125.63030600629213</v>
      </c>
      <c r="AN80" s="13">
        <f t="shared" si="78"/>
        <v>145.28712925354949</v>
      </c>
      <c r="AO80" s="137">
        <f>+AO52</f>
        <v>187.16858297894709</v>
      </c>
      <c r="AP80" s="13">
        <f t="shared" si="79"/>
        <v>131.72520067254544</v>
      </c>
      <c r="AQ80" s="13">
        <f t="shared" si="79"/>
        <v>99.837202876104243</v>
      </c>
      <c r="AR80" s="13">
        <f t="shared" si="79"/>
        <v>132.81038942735222</v>
      </c>
      <c r="AS80" s="137">
        <f>+AS52</f>
        <v>225.81066214175189</v>
      </c>
      <c r="AT80" s="13">
        <f t="shared" si="79"/>
        <v>157.3058743281664</v>
      </c>
      <c r="AU80" s="13">
        <f t="shared" si="79"/>
        <v>109.09120963395367</v>
      </c>
      <c r="AV80" s="13">
        <f t="shared" si="79"/>
        <v>148.04475777537891</v>
      </c>
    </row>
    <row r="81" spans="2:48" ht="15" customHeight="1" x14ac:dyDescent="0.2">
      <c r="B81" s="52" t="s">
        <v>169</v>
      </c>
      <c r="C81" s="13">
        <v>10</v>
      </c>
      <c r="D81" s="13">
        <f>+D53-C53</f>
        <v>7.7591999999999928</v>
      </c>
      <c r="E81" s="137">
        <f>+E53</f>
        <v>6.6755674232309703</v>
      </c>
      <c r="F81" s="13">
        <f t="shared" si="70"/>
        <v>8.2720539642551607</v>
      </c>
      <c r="G81" s="13">
        <f t="shared" si="70"/>
        <v>9.932584612513871</v>
      </c>
      <c r="H81" s="13">
        <f t="shared" si="70"/>
        <v>9.408726999999999</v>
      </c>
      <c r="I81" s="137">
        <f>+I53</f>
        <v>8.6555300000000006</v>
      </c>
      <c r="J81" s="13">
        <f t="shared" si="71"/>
        <v>10.469505999999997</v>
      </c>
      <c r="K81" s="13">
        <f t="shared" si="71"/>
        <v>9.9334880000000041</v>
      </c>
      <c r="L81" s="13">
        <f t="shared" si="71"/>
        <v>9.6327539999999949</v>
      </c>
      <c r="M81" s="137">
        <f>+M53</f>
        <v>8.2766970000000004</v>
      </c>
      <c r="N81" s="13">
        <f t="shared" si="72"/>
        <v>9.6249629999999993</v>
      </c>
      <c r="O81" s="13">
        <f t="shared" si="72"/>
        <v>8.6727270000000019</v>
      </c>
      <c r="P81" s="13">
        <f t="shared" si="72"/>
        <v>6.9425090000000012</v>
      </c>
      <c r="Q81" s="137">
        <f>+Q53</f>
        <v>7.2629700000000001</v>
      </c>
      <c r="R81" s="13">
        <f t="shared" si="73"/>
        <v>9.4640999999999984</v>
      </c>
      <c r="S81" s="13">
        <f t="shared" si="73"/>
        <v>9.4684270000000019</v>
      </c>
      <c r="T81" s="13">
        <f t="shared" si="73"/>
        <v>11.188694000000009</v>
      </c>
      <c r="U81" s="137">
        <f>+U53</f>
        <v>9.5489509999999989</v>
      </c>
      <c r="V81" s="13">
        <f t="shared" si="74"/>
        <v>8.6941801846978812</v>
      </c>
      <c r="W81" s="13">
        <f t="shared" si="74"/>
        <v>10.21018381530212</v>
      </c>
      <c r="X81" s="13">
        <f t="shared" si="74"/>
        <v>7.7994919999999972</v>
      </c>
      <c r="Y81" s="137">
        <f>+Y53</f>
        <v>9.4825250609590821</v>
      </c>
      <c r="Z81" s="13">
        <f t="shared" si="75"/>
        <v>6.2371106133670668</v>
      </c>
      <c r="AA81" s="13">
        <f t="shared" si="75"/>
        <v>10.647280784180623</v>
      </c>
      <c r="AB81" s="13">
        <f t="shared" si="75"/>
        <v>12.507997788005916</v>
      </c>
      <c r="AC81" s="137">
        <f>+AC53</f>
        <v>10.988563754018962</v>
      </c>
      <c r="AD81" s="13">
        <f t="shared" si="76"/>
        <v>9.7096852459810385</v>
      </c>
      <c r="AE81" s="13">
        <f t="shared" si="76"/>
        <v>11.678831039153682</v>
      </c>
      <c r="AF81" s="13">
        <f t="shared" si="76"/>
        <v>12.858475843307431</v>
      </c>
      <c r="AG81" s="137">
        <f>+AG53</f>
        <v>12.241150668162792</v>
      </c>
      <c r="AH81" s="13">
        <f t="shared" si="77"/>
        <v>11.061701331837209</v>
      </c>
      <c r="AI81" s="13">
        <f t="shared" si="77"/>
        <v>10.475168403289054</v>
      </c>
      <c r="AJ81" s="13">
        <f t="shared" si="77"/>
        <v>11.614776389395033</v>
      </c>
      <c r="AK81" s="137">
        <f>+AK53</f>
        <v>10.561091854419407</v>
      </c>
      <c r="AL81" s="13">
        <f t="shared" si="78"/>
        <v>10.618355829594213</v>
      </c>
      <c r="AM81" s="13">
        <f t="shared" si="78"/>
        <v>13.326340383662266</v>
      </c>
      <c r="AN81" s="13">
        <f t="shared" si="78"/>
        <v>12.414228395487847</v>
      </c>
      <c r="AO81" s="137">
        <f>+AO53</f>
        <v>8.4002730088727997</v>
      </c>
      <c r="AP81" s="13">
        <f t="shared" si="79"/>
        <v>8.2419198447737774</v>
      </c>
      <c r="AQ81" s="13">
        <f t="shared" si="79"/>
        <v>5.522083547917962</v>
      </c>
      <c r="AR81" s="13">
        <f t="shared" si="79"/>
        <v>7.441735896317482</v>
      </c>
      <c r="AS81" s="137">
        <f>+AS53</f>
        <v>4.288724384195123</v>
      </c>
      <c r="AT81" s="13">
        <f t="shared" si="79"/>
        <v>7.2777293410927024</v>
      </c>
      <c r="AU81" s="13">
        <f t="shared" si="79"/>
        <v>5.240142178010089</v>
      </c>
      <c r="AV81" s="13">
        <f t="shared" si="79"/>
        <v>8.7611851659643776</v>
      </c>
    </row>
    <row r="82" spans="2:48" ht="15" customHeight="1" x14ac:dyDescent="0.2">
      <c r="B82" s="52" t="s">
        <v>183</v>
      </c>
      <c r="C82" s="13"/>
      <c r="D82" s="13"/>
      <c r="E82" s="137"/>
      <c r="F82" s="13"/>
      <c r="G82" s="13"/>
      <c r="H82" s="13"/>
      <c r="I82" s="137"/>
      <c r="J82" s="13"/>
      <c r="K82" s="13"/>
      <c r="L82" s="13"/>
      <c r="M82" s="137"/>
      <c r="N82" s="13"/>
      <c r="O82" s="13"/>
      <c r="P82" s="13"/>
      <c r="Q82" s="137"/>
      <c r="R82" s="13"/>
      <c r="S82" s="13"/>
      <c r="T82" s="13"/>
      <c r="U82" s="137"/>
      <c r="V82" s="13"/>
      <c r="W82" s="13"/>
      <c r="X82" s="13"/>
      <c r="Y82" s="137"/>
      <c r="Z82" s="13"/>
      <c r="AA82" s="13"/>
      <c r="AB82" s="13"/>
      <c r="AC82" s="137"/>
      <c r="AD82" s="13"/>
      <c r="AE82" s="13"/>
      <c r="AF82" s="13"/>
      <c r="AG82" s="137"/>
      <c r="AH82" s="13"/>
      <c r="AI82" s="13"/>
      <c r="AJ82" s="13"/>
      <c r="AK82" s="137"/>
      <c r="AL82" s="13"/>
      <c r="AM82" s="13">
        <f t="shared" si="78"/>
        <v>0.86696467611716299</v>
      </c>
      <c r="AN82" s="13">
        <f t="shared" si="78"/>
        <v>5.7115837829774936</v>
      </c>
      <c r="AO82" s="137"/>
      <c r="AP82" s="13">
        <f t="shared" si="79"/>
        <v>2.9190871610816296</v>
      </c>
      <c r="AQ82" s="13">
        <f>+AQ54-AP54</f>
        <v>24.415101395613611</v>
      </c>
      <c r="AR82" s="13">
        <f t="shared" si="79"/>
        <v>5.1148409751716066</v>
      </c>
      <c r="AS82" s="137"/>
      <c r="AT82" s="13">
        <f t="shared" si="79"/>
        <v>12.921850575538297</v>
      </c>
      <c r="AU82" s="13">
        <f t="shared" si="79"/>
        <v>11.678932250128563</v>
      </c>
      <c r="AV82" s="13">
        <f t="shared" si="79"/>
        <v>10.407698549173144</v>
      </c>
    </row>
    <row r="83" spans="2:48" ht="15" customHeight="1" x14ac:dyDescent="0.2">
      <c r="B83" s="24" t="s">
        <v>75</v>
      </c>
      <c r="C83" s="3">
        <v>7</v>
      </c>
      <c r="D83" s="3">
        <f t="shared" ref="D83:D89" si="80">+D55-C55</f>
        <v>3.3835999999999977</v>
      </c>
      <c r="E83" s="135">
        <f t="shared" ref="E83:E89" si="81">+E55</f>
        <v>3.64121859448962</v>
      </c>
      <c r="F83" s="3">
        <f t="shared" ref="F83:H89" si="82">+F55-E55</f>
        <v>26.254024180482642</v>
      </c>
      <c r="G83" s="3">
        <f t="shared" si="82"/>
        <v>3.9163192250277419</v>
      </c>
      <c r="H83" s="3">
        <f t="shared" si="82"/>
        <v>6.946981000000001</v>
      </c>
      <c r="I83" s="135">
        <f t="shared" ref="I83:I89" si="83">+I55</f>
        <v>6.6581000000000001</v>
      </c>
      <c r="J83" s="3">
        <f t="shared" ref="J83:L89" si="84">+J55-I55</f>
        <v>10.488484</v>
      </c>
      <c r="K83" s="3">
        <f t="shared" si="84"/>
        <v>9.9306770000000029</v>
      </c>
      <c r="L83" s="3">
        <f t="shared" si="84"/>
        <v>8.9456529999999965</v>
      </c>
      <c r="M83" s="135">
        <f t="shared" ref="M83:M89" si="85">+M55</f>
        <v>6.3666900000000002</v>
      </c>
      <c r="N83" s="3">
        <f t="shared" ref="N83:P89" si="86">+N55-M55</f>
        <v>8.9775900000000011</v>
      </c>
      <c r="O83" s="3">
        <f t="shared" si="86"/>
        <v>11.848116000000001</v>
      </c>
      <c r="P83" s="3">
        <f t="shared" si="86"/>
        <v>7.5215320000000006</v>
      </c>
      <c r="Q83" s="135">
        <f t="shared" ref="Q83:Q89" si="87">+Q55</f>
        <v>3.3521399999999999</v>
      </c>
      <c r="R83" s="3">
        <f t="shared" ref="R83:T89" si="88">+R55-Q55</f>
        <v>2.7811189999999999</v>
      </c>
      <c r="S83" s="3">
        <f t="shared" si="88"/>
        <v>26.750450000000004</v>
      </c>
      <c r="T83" s="3">
        <f t="shared" si="88"/>
        <v>1.1526440000000022</v>
      </c>
      <c r="U83" s="135">
        <f t="shared" ref="U83:U89" si="89">+U55</f>
        <v>5.6170299999999997</v>
      </c>
      <c r="V83" s="3">
        <f t="shared" ref="V83:X89" si="90">+V55-U55</f>
        <v>3.7809466709049673</v>
      </c>
      <c r="W83" s="3">
        <f t="shared" si="90"/>
        <v>2.9496883290950322</v>
      </c>
      <c r="X83" s="3">
        <f t="shared" si="90"/>
        <v>3.4144249999999996</v>
      </c>
      <c r="Y83" s="135">
        <f t="shared" ref="Y83:Y89" si="91">+Y55</f>
        <v>3.1608416869863607</v>
      </c>
      <c r="Z83" s="3">
        <f t="shared" ref="Z83:AB89" si="92">+Z55-Y55</f>
        <v>2.8496072473148137</v>
      </c>
      <c r="AA83" s="3">
        <f t="shared" si="92"/>
        <v>3.2411007002626055</v>
      </c>
      <c r="AB83" s="3">
        <f t="shared" si="92"/>
        <v>2.6396006055459846</v>
      </c>
      <c r="AC83" s="135">
        <f t="shared" ref="AC83:AC89" si="93">+AC55</f>
        <v>2.8488868991901009</v>
      </c>
      <c r="AD83" s="3">
        <f t="shared" ref="AD83:AF89" si="94">+AD55-AC55</f>
        <v>2.6185751008098994</v>
      </c>
      <c r="AE83" s="3">
        <f t="shared" si="94"/>
        <v>2.43856917235148</v>
      </c>
      <c r="AF83" s="3">
        <f t="shared" si="94"/>
        <v>2.3914937439811306</v>
      </c>
      <c r="AG83" s="135">
        <f t="shared" ref="AG83:AG89" si="95">+AG55</f>
        <v>2.3802237410316542</v>
      </c>
      <c r="AH83" s="3">
        <f t="shared" ref="AH83:AJ89" si="96">+AH55-AG55</f>
        <v>2.4174222589683461</v>
      </c>
      <c r="AI83" s="3">
        <f t="shared" si="96"/>
        <v>3.2510762354907961</v>
      </c>
      <c r="AJ83" s="3">
        <f t="shared" si="96"/>
        <v>2.8853091087323772</v>
      </c>
      <c r="AK83" s="135">
        <f t="shared" ref="AK83:AK89" si="97">+AK55</f>
        <v>11.373483535528592</v>
      </c>
      <c r="AL83" s="3">
        <f t="shared" ref="AL83:AL89" si="98">+AL55-AK55</f>
        <v>49.689339657341847</v>
      </c>
      <c r="AM83" s="3">
        <f t="shared" si="78"/>
        <v>25.960496041323722</v>
      </c>
      <c r="AN83" s="3">
        <f t="shared" si="78"/>
        <v>9.2159454111619823</v>
      </c>
      <c r="AO83" s="135">
        <f t="shared" ref="AO83:AO89" si="99">+AO55</f>
        <v>6.3789573161127828</v>
      </c>
      <c r="AP83" s="3">
        <f>+AP55-AO55</f>
        <v>3.4668576618607725</v>
      </c>
      <c r="AQ83" s="3">
        <f t="shared" si="79"/>
        <v>7.8627899763941134</v>
      </c>
      <c r="AR83" s="3">
        <f t="shared" si="79"/>
        <v>10.13036318293797</v>
      </c>
      <c r="AS83" s="135">
        <f t="shared" ref="AS83:AS89" si="100">+AS55</f>
        <v>8.5224412165060031</v>
      </c>
      <c r="AT83" s="3">
        <f>+AT55-AS55</f>
        <v>3.353993468619537</v>
      </c>
      <c r="AU83" s="3">
        <f t="shared" si="79"/>
        <v>6.4209844635839932</v>
      </c>
      <c r="AV83" s="73"/>
    </row>
    <row r="84" spans="2:48" ht="15" customHeight="1" x14ac:dyDescent="0.2">
      <c r="B84" s="26" t="s">
        <v>76</v>
      </c>
      <c r="C84" s="18">
        <v>16</v>
      </c>
      <c r="D84" s="18">
        <f t="shared" si="80"/>
        <v>10.246399999999994</v>
      </c>
      <c r="E84" s="144">
        <f t="shared" si="81"/>
        <v>9.1030464862240503</v>
      </c>
      <c r="F84" s="18">
        <f t="shared" si="82"/>
        <v>12.0727504793813</v>
      </c>
      <c r="G84" s="18">
        <f t="shared" si="82"/>
        <v>10.72190303439465</v>
      </c>
      <c r="H84" s="18">
        <f t="shared" si="82"/>
        <v>8.8608430000000027</v>
      </c>
      <c r="I84" s="144">
        <f t="shared" si="83"/>
        <v>10.65296</v>
      </c>
      <c r="J84" s="18">
        <f t="shared" si="84"/>
        <v>13.088463999999998</v>
      </c>
      <c r="K84" s="18">
        <f t="shared" si="84"/>
        <v>11.260889000000002</v>
      </c>
      <c r="L84" s="18">
        <f t="shared" si="84"/>
        <v>12.361148</v>
      </c>
      <c r="M84" s="144">
        <f t="shared" si="85"/>
        <v>13.370049000000002</v>
      </c>
      <c r="N84" s="18">
        <f t="shared" si="86"/>
        <v>12.203751</v>
      </c>
      <c r="O84" s="18">
        <f t="shared" si="86"/>
        <v>12.742757999999998</v>
      </c>
      <c r="P84" s="18">
        <f t="shared" si="86"/>
        <v>10.163238</v>
      </c>
      <c r="Q84" s="144">
        <f t="shared" si="87"/>
        <v>10.056419999999999</v>
      </c>
      <c r="R84" s="18">
        <f t="shared" si="88"/>
        <v>11.688770999999999</v>
      </c>
      <c r="S84" s="18">
        <f t="shared" si="88"/>
        <v>10.581167000000001</v>
      </c>
      <c r="T84" s="18">
        <f t="shared" si="88"/>
        <v>5.6158060000000063</v>
      </c>
      <c r="U84" s="144">
        <f t="shared" si="89"/>
        <v>10.110653999999998</v>
      </c>
      <c r="V84" s="18">
        <f t="shared" si="90"/>
        <v>9.7909436560340506</v>
      </c>
      <c r="W84" s="18">
        <f t="shared" si="90"/>
        <v>6.9411523439659497</v>
      </c>
      <c r="X84" s="18">
        <f t="shared" si="90"/>
        <v>8.3592509999999969</v>
      </c>
      <c r="Y84" s="144">
        <f t="shared" si="91"/>
        <v>8.5794274361058367</v>
      </c>
      <c r="Z84" s="18">
        <f t="shared" si="92"/>
        <v>8.0648926896512609</v>
      </c>
      <c r="AA84" s="18">
        <f t="shared" si="92"/>
        <v>6.9471314423805417</v>
      </c>
      <c r="AB84" s="18">
        <f t="shared" si="92"/>
        <v>1.56290470901763</v>
      </c>
      <c r="AC84" s="144">
        <f t="shared" si="93"/>
        <v>5.2907899556387594</v>
      </c>
      <c r="AD84" s="18">
        <f t="shared" si="94"/>
        <v>6.8157330443612398</v>
      </c>
      <c r="AE84" s="18">
        <f t="shared" si="94"/>
        <v>3.3290616698290822</v>
      </c>
      <c r="AF84" s="18">
        <f t="shared" si="94"/>
        <v>2.2173151867411089</v>
      </c>
      <c r="AG84" s="144">
        <f t="shared" si="95"/>
        <v>2.3802237410316542</v>
      </c>
      <c r="AH84" s="18">
        <f t="shared" si="96"/>
        <v>2.4174222589683461</v>
      </c>
      <c r="AI84" s="18">
        <f t="shared" si="96"/>
        <v>2.6980038004025984</v>
      </c>
      <c r="AJ84" s="18">
        <f t="shared" si="96"/>
        <v>2.4443786943457413</v>
      </c>
      <c r="AK84" s="144">
        <f t="shared" si="97"/>
        <v>2.1663778162911602</v>
      </c>
      <c r="AL84" s="18">
        <f t="shared" si="98"/>
        <v>2.5096041399196394</v>
      </c>
      <c r="AM84" s="18">
        <f t="shared" si="78"/>
        <v>2.4369410179655171</v>
      </c>
      <c r="AN84" s="18">
        <f t="shared" si="78"/>
        <v>2.3300733216118692</v>
      </c>
      <c r="AO84" s="144">
        <f t="shared" si="99"/>
        <v>2.5200819026618397</v>
      </c>
      <c r="AP84" s="18">
        <f>+AP56-AO56</f>
        <v>2.2598985182877387</v>
      </c>
      <c r="AQ84" s="18">
        <f t="shared" si="79"/>
        <v>1.8297544769209138</v>
      </c>
      <c r="AR84" s="18">
        <f t="shared" si="79"/>
        <v>8.732390523963419</v>
      </c>
      <c r="AS84" s="144">
        <f t="shared" si="100"/>
        <v>2.222491562400942</v>
      </c>
      <c r="AT84" s="18">
        <f>+AT56-AS56</f>
        <v>1.9739957945754081</v>
      </c>
      <c r="AU84" s="18">
        <f t="shared" si="79"/>
        <v>2.0680232752789518</v>
      </c>
      <c r="AV84" s="18">
        <f t="shared" si="79"/>
        <v>8.0180045320838431</v>
      </c>
    </row>
    <row r="85" spans="2:48" ht="15" customHeight="1" x14ac:dyDescent="0.2">
      <c r="B85" s="43" t="s">
        <v>77</v>
      </c>
      <c r="C85" s="44">
        <v>550</v>
      </c>
      <c r="D85" s="44">
        <f t="shared" si="80"/>
        <v>481.2349999999999</v>
      </c>
      <c r="E85" s="44">
        <f t="shared" si="81"/>
        <v>390.82412914188592</v>
      </c>
      <c r="F85" s="44">
        <f t="shared" si="82"/>
        <v>358.42539290585637</v>
      </c>
      <c r="G85" s="44">
        <f t="shared" si="82"/>
        <v>400.34358595225774</v>
      </c>
      <c r="H85" s="44">
        <f t="shared" si="82"/>
        <v>370.76524199999994</v>
      </c>
      <c r="I85" s="44">
        <f t="shared" si="83"/>
        <v>400.81761999999998</v>
      </c>
      <c r="J85" s="44">
        <f t="shared" si="84"/>
        <v>326.593232</v>
      </c>
      <c r="K85" s="44">
        <f t="shared" si="84"/>
        <v>355.01916700000015</v>
      </c>
      <c r="L85" s="44">
        <f t="shared" si="84"/>
        <v>426.52982299999985</v>
      </c>
      <c r="M85" s="44">
        <f t="shared" si="85"/>
        <v>439.30161000000004</v>
      </c>
      <c r="N85" s="44">
        <f t="shared" si="86"/>
        <v>451.30597499999993</v>
      </c>
      <c r="O85" s="44">
        <f t="shared" si="86"/>
        <v>461.59610700000007</v>
      </c>
      <c r="P85" s="44">
        <f t="shared" si="86"/>
        <v>569.63118400000008</v>
      </c>
      <c r="Q85" s="44">
        <f t="shared" si="87"/>
        <v>558.69000000000005</v>
      </c>
      <c r="R85" s="44">
        <f t="shared" si="88"/>
        <v>540.27849900000001</v>
      </c>
      <c r="S85" s="44">
        <f t="shared" si="88"/>
        <v>530.72582499999999</v>
      </c>
      <c r="T85" s="44">
        <f t="shared" si="88"/>
        <v>573.74105300000019</v>
      </c>
      <c r="U85" s="44">
        <f t="shared" si="89"/>
        <v>594.84347699999989</v>
      </c>
      <c r="V85" s="44">
        <f t="shared" si="90"/>
        <v>490.89923956808002</v>
      </c>
      <c r="W85" s="44">
        <f t="shared" si="90"/>
        <v>455.56798843192018</v>
      </c>
      <c r="X85" s="44">
        <f t="shared" si="90"/>
        <v>479.38923299999988</v>
      </c>
      <c r="Y85" s="44">
        <f t="shared" si="91"/>
        <v>518.82958547818976</v>
      </c>
      <c r="Z85" s="44">
        <f t="shared" si="92"/>
        <v>471.50746200435765</v>
      </c>
      <c r="AA85" s="44">
        <f t="shared" si="92"/>
        <v>488.52316160247278</v>
      </c>
      <c r="AB85" s="44">
        <f t="shared" si="92"/>
        <v>567.78968801079486</v>
      </c>
      <c r="AC85" s="44">
        <f t="shared" si="93"/>
        <v>444.0193724309143</v>
      </c>
      <c r="AD85" s="44">
        <f t="shared" si="94"/>
        <v>352.6679475690857</v>
      </c>
      <c r="AE85" s="44">
        <f t="shared" si="94"/>
        <v>275.14462036593636</v>
      </c>
      <c r="AF85" s="44">
        <f t="shared" si="94"/>
        <v>358.05294801624905</v>
      </c>
      <c r="AG85" s="44">
        <f t="shared" si="95"/>
        <v>466.8638852052087</v>
      </c>
      <c r="AH85" s="44">
        <f t="shared" si="96"/>
        <v>368.61189679479128</v>
      </c>
      <c r="AI85" s="44">
        <f t="shared" si="96"/>
        <v>329.31762616813808</v>
      </c>
      <c r="AJ85" s="44">
        <f t="shared" si="96"/>
        <v>404.73709115262477</v>
      </c>
      <c r="AK85" s="44">
        <f t="shared" si="97"/>
        <v>443.29506065857868</v>
      </c>
      <c r="AL85" s="44">
        <f t="shared" si="98"/>
        <v>476.49809590429857</v>
      </c>
      <c r="AM85" s="44">
        <f t="shared" si="78"/>
        <v>491.16159633115728</v>
      </c>
      <c r="AN85" s="44">
        <f t="shared" si="78"/>
        <v>643.41018056734833</v>
      </c>
      <c r="AO85" s="44">
        <f t="shared" si="99"/>
        <v>594.81808158765239</v>
      </c>
      <c r="AP85" s="44">
        <f>+AP57-AO57</f>
        <v>653.9601856663844</v>
      </c>
      <c r="AQ85" s="44">
        <f t="shared" si="79"/>
        <v>567.49096351519415</v>
      </c>
      <c r="AR85" s="44">
        <f t="shared" si="79"/>
        <v>698.6209371361947</v>
      </c>
      <c r="AS85" s="44">
        <f t="shared" si="100"/>
        <v>855.40994611124665</v>
      </c>
      <c r="AT85" s="44">
        <f>+AT57-AS57</f>
        <v>622.5840749219044</v>
      </c>
      <c r="AU85" s="44">
        <f t="shared" si="79"/>
        <v>527.19164405967717</v>
      </c>
      <c r="AV85" s="44">
        <f t="shared" si="79"/>
        <v>569.81680352052149</v>
      </c>
    </row>
    <row r="86" spans="2:48" ht="15" customHeight="1" x14ac:dyDescent="0.2">
      <c r="B86" s="42" t="s">
        <v>58</v>
      </c>
      <c r="C86" s="10">
        <v>32</v>
      </c>
      <c r="D86" s="10">
        <f t="shared" si="80"/>
        <v>3.4669999999999987</v>
      </c>
      <c r="E86" s="145">
        <f t="shared" si="81"/>
        <v>30.950358053161771</v>
      </c>
      <c r="F86" s="10">
        <f t="shared" si="82"/>
        <v>17.006593898356229</v>
      </c>
      <c r="G86" s="10">
        <f t="shared" si="82"/>
        <v>24.769804048482008</v>
      </c>
      <c r="H86" s="10">
        <f t="shared" si="82"/>
        <v>24.317393999999993</v>
      </c>
      <c r="I86" s="145">
        <f t="shared" si="83"/>
        <v>25.96659</v>
      </c>
      <c r="J86" s="10">
        <f t="shared" si="84"/>
        <v>24.154194</v>
      </c>
      <c r="K86" s="10">
        <f t="shared" si="84"/>
        <v>15.921316000000004</v>
      </c>
      <c r="L86" s="10">
        <f t="shared" si="84"/>
        <v>32.020276999999993</v>
      </c>
      <c r="M86" s="145">
        <f t="shared" si="85"/>
        <v>7.640028</v>
      </c>
      <c r="N86" s="10">
        <f t="shared" si="86"/>
        <v>29.441982000000003</v>
      </c>
      <c r="O86" s="10">
        <f t="shared" si="86"/>
        <v>26.572917000000004</v>
      </c>
      <c r="P86" s="10">
        <f t="shared" si="86"/>
        <v>39.888341000000004</v>
      </c>
      <c r="Q86" s="145">
        <f t="shared" si="87"/>
        <v>31.845330000000001</v>
      </c>
      <c r="R86" s="10">
        <f t="shared" si="88"/>
        <v>22.796431999999999</v>
      </c>
      <c r="S86" s="10">
        <f t="shared" si="88"/>
        <v>27.288835000000006</v>
      </c>
      <c r="T86" s="10">
        <f t="shared" si="88"/>
        <v>-2.6984309999999994</v>
      </c>
      <c r="U86" s="145">
        <f t="shared" si="89"/>
        <v>32.017070999999994</v>
      </c>
      <c r="V86" s="10">
        <f t="shared" si="90"/>
        <v>-60.211001012714902</v>
      </c>
      <c r="W86" s="10">
        <f t="shared" si="90"/>
        <v>13.698845012714905</v>
      </c>
      <c r="X86" s="10">
        <f t="shared" si="90"/>
        <v>-38.045214999999999</v>
      </c>
      <c r="Y86" s="145">
        <f t="shared" si="91"/>
        <v>23.480538246184395</v>
      </c>
      <c r="Z86" s="10">
        <f t="shared" si="92"/>
        <v>26.452422131086898</v>
      </c>
      <c r="AA86" s="10">
        <f t="shared" si="92"/>
        <v>18.065929436772485</v>
      </c>
      <c r="AB86" s="10">
        <f t="shared" si="92"/>
        <v>-85.378263241896505</v>
      </c>
      <c r="AC86" s="145">
        <f t="shared" si="93"/>
        <v>7.3257091693459744</v>
      </c>
      <c r="AD86" s="10">
        <f t="shared" si="94"/>
        <v>23.526397830654027</v>
      </c>
      <c r="AE86" s="10">
        <f t="shared" si="94"/>
        <v>20.725334457721562</v>
      </c>
      <c r="AF86" s="10">
        <f t="shared" si="94"/>
        <v>8.736633052226594</v>
      </c>
      <c r="AG86" s="145">
        <f t="shared" si="95"/>
        <v>24.142269373321064</v>
      </c>
      <c r="AH86" s="10">
        <f t="shared" si="96"/>
        <v>21.092678626678939</v>
      </c>
      <c r="AI86" s="10">
        <f t="shared" si="96"/>
        <v>2.1907574147189735</v>
      </c>
      <c r="AJ86" s="10">
        <f t="shared" si="96"/>
        <v>39.052542489591588</v>
      </c>
      <c r="AK86" s="145">
        <f t="shared" si="97"/>
        <v>17.331022530329282</v>
      </c>
      <c r="AL86" s="10">
        <f t="shared" si="98"/>
        <v>46.757436045971673</v>
      </c>
      <c r="AM86" s="10">
        <f t="shared" si="78"/>
        <v>30.802458609807729</v>
      </c>
      <c r="AN86" s="10">
        <f t="shared" si="78"/>
        <v>55.472644344965744</v>
      </c>
      <c r="AO86" s="145">
        <f t="shared" si="99"/>
        <v>42.526382107418549</v>
      </c>
      <c r="AP86" s="10">
        <f>+AP58-AO58</f>
        <v>41.418796551416399</v>
      </c>
      <c r="AQ86" s="10">
        <f t="shared" si="79"/>
        <v>40.078723992186369</v>
      </c>
      <c r="AR86" s="10">
        <f t="shared" si="79"/>
        <v>73.853366970725588</v>
      </c>
      <c r="AS86" s="145">
        <f t="shared" si="100"/>
        <v>149.72067351619475</v>
      </c>
      <c r="AT86" s="10">
        <f>+AT58-AS58</f>
        <v>41.839374173183643</v>
      </c>
      <c r="AU86" s="10">
        <f t="shared" si="79"/>
        <v>56.054706117997966</v>
      </c>
      <c r="AV86" s="10">
        <f t="shared" si="79"/>
        <v>7.7093398588676223</v>
      </c>
    </row>
    <row r="87" spans="2:48" ht="15" customHeight="1" x14ac:dyDescent="0.2">
      <c r="B87" s="24" t="s">
        <v>74</v>
      </c>
      <c r="C87" s="3">
        <v>44</v>
      </c>
      <c r="D87" s="3">
        <f t="shared" si="80"/>
        <v>-67.215400000000031</v>
      </c>
      <c r="E87" s="135">
        <f t="shared" si="81"/>
        <v>25.488530161427342</v>
      </c>
      <c r="F87" s="3">
        <f t="shared" si="82"/>
        <v>-23.620077487991576</v>
      </c>
      <c r="G87" s="3">
        <f t="shared" si="82"/>
        <v>15.356305326564236</v>
      </c>
      <c r="H87" s="3">
        <f t="shared" si="82"/>
        <v>9.9476039999999983</v>
      </c>
      <c r="I87" s="135">
        <f t="shared" si="83"/>
        <v>45.275079999999996</v>
      </c>
      <c r="J87" s="3">
        <f t="shared" si="84"/>
        <v>17.375900000000001</v>
      </c>
      <c r="K87" s="3">
        <f t="shared" si="84"/>
        <v>14.618277000000013</v>
      </c>
      <c r="L87" s="3">
        <f t="shared" si="84"/>
        <v>20.793119999999988</v>
      </c>
      <c r="M87" s="135">
        <f t="shared" si="85"/>
        <v>52.206858000000004</v>
      </c>
      <c r="N87" s="3">
        <f t="shared" si="86"/>
        <v>32.826027000000003</v>
      </c>
      <c r="O87" s="3">
        <f t="shared" si="86"/>
        <v>26.208735000000004</v>
      </c>
      <c r="P87" s="3">
        <f t="shared" si="86"/>
        <v>3.0749359999999939</v>
      </c>
      <c r="Q87" s="135">
        <f t="shared" si="87"/>
        <v>22.906289999999998</v>
      </c>
      <c r="R87" s="3">
        <f t="shared" si="88"/>
        <v>27.832489000000002</v>
      </c>
      <c r="S87" s="3">
        <f t="shared" si="88"/>
        <v>8.8977780000000024</v>
      </c>
      <c r="T87" s="3">
        <f t="shared" si="88"/>
        <v>16.805744000000011</v>
      </c>
      <c r="U87" s="135">
        <f t="shared" si="89"/>
        <v>35.387288999999996</v>
      </c>
      <c r="V87" s="3">
        <f t="shared" si="90"/>
        <v>5.5215506262922176</v>
      </c>
      <c r="W87" s="3">
        <f t="shared" si="90"/>
        <v>7.4081103737077854</v>
      </c>
      <c r="X87" s="3">
        <f t="shared" si="90"/>
        <v>13.155200999999998</v>
      </c>
      <c r="Y87" s="135">
        <f t="shared" si="91"/>
        <v>53.282759866341515</v>
      </c>
      <c r="Z87" s="3">
        <f t="shared" si="92"/>
        <v>14.681547313833299</v>
      </c>
      <c r="AA87" s="3">
        <f t="shared" si="92"/>
        <v>22.700879238550229</v>
      </c>
      <c r="AB87" s="3">
        <f t="shared" si="92"/>
        <v>22.758092794629633</v>
      </c>
      <c r="AC87" s="135">
        <f t="shared" si="93"/>
        <v>24.419030564486579</v>
      </c>
      <c r="AD87" s="3">
        <f t="shared" si="94"/>
        <v>9.5573404355134208</v>
      </c>
      <c r="AE87" s="3">
        <f t="shared" si="94"/>
        <v>11.577427659739485</v>
      </c>
      <c r="AF87" s="3">
        <f t="shared" si="94"/>
        <v>7.7726696569829699</v>
      </c>
      <c r="AG87" s="135">
        <f t="shared" si="95"/>
        <v>41.143867523547165</v>
      </c>
      <c r="AH87" s="3">
        <f t="shared" si="96"/>
        <v>20.540152476452832</v>
      </c>
      <c r="AI87" s="3">
        <f t="shared" si="96"/>
        <v>15.0842081892933</v>
      </c>
      <c r="AJ87" s="3">
        <f t="shared" si="96"/>
        <v>19.318713926607316</v>
      </c>
      <c r="AK87" s="135">
        <f t="shared" si="97"/>
        <v>43.598353552859599</v>
      </c>
      <c r="AL87" s="3">
        <f t="shared" si="98"/>
        <v>24.065855931131971</v>
      </c>
      <c r="AM87" s="3">
        <f t="shared" si="78"/>
        <v>28.339797639784081</v>
      </c>
      <c r="AN87" s="3">
        <f t="shared" si="78"/>
        <v>32.408669512251393</v>
      </c>
      <c r="AO87" s="135">
        <f t="shared" si="99"/>
        <v>35.701160287709399</v>
      </c>
      <c r="AP87" s="3">
        <f t="shared" ref="AP87:AV101" si="101">+AP59-AO59</f>
        <v>29.085672800885732</v>
      </c>
      <c r="AQ87" s="3">
        <f t="shared" si="79"/>
        <v>28.306169953560456</v>
      </c>
      <c r="AR87" s="3">
        <f>+AR59-AQ59</f>
        <v>28.905506305476919</v>
      </c>
      <c r="AS87" s="135">
        <f t="shared" si="100"/>
        <v>30.166514385873345</v>
      </c>
      <c r="AT87" s="3">
        <f t="shared" ref="AT87" si="102">+AT59-AS59</f>
        <v>34.967923395502879</v>
      </c>
      <c r="AU87" s="3">
        <f t="shared" si="79"/>
        <v>16.314317943001456</v>
      </c>
      <c r="AV87" s="3">
        <f t="shared" si="79"/>
        <v>16.225810504991969</v>
      </c>
    </row>
    <row r="88" spans="2:48" ht="15" customHeight="1" x14ac:dyDescent="0.2">
      <c r="B88" s="52" t="s">
        <v>184</v>
      </c>
      <c r="C88" s="13">
        <v>39</v>
      </c>
      <c r="D88" s="13">
        <f t="shared" si="80"/>
        <v>-71.144599999999997</v>
      </c>
      <c r="E88" s="137">
        <f t="shared" si="81"/>
        <v>22.454181332685991</v>
      </c>
      <c r="F88" s="13">
        <f t="shared" si="82"/>
        <v>-28.059539352993291</v>
      </c>
      <c r="G88" s="13">
        <f t="shared" si="82"/>
        <v>10.0710360203073</v>
      </c>
      <c r="H88" s="13">
        <f t="shared" si="82"/>
        <v>5.2387369999999986</v>
      </c>
      <c r="I88" s="137">
        <f t="shared" si="83"/>
        <v>40.614409999999999</v>
      </c>
      <c r="J88" s="13">
        <f t="shared" si="84"/>
        <v>11.484825999999998</v>
      </c>
      <c r="K88" s="13">
        <f t="shared" si="84"/>
        <v>9.3199170000000109</v>
      </c>
      <c r="L88" s="13">
        <f t="shared" si="84"/>
        <v>15.963402999999985</v>
      </c>
      <c r="M88" s="137">
        <f t="shared" si="85"/>
        <v>47.750175000000006</v>
      </c>
      <c r="N88" s="13">
        <f t="shared" si="86"/>
        <v>28.331879999999991</v>
      </c>
      <c r="O88" s="13">
        <f t="shared" si="86"/>
        <v>22.799385000000015</v>
      </c>
      <c r="P88" s="13">
        <f t="shared" si="86"/>
        <v>0.47221599999998887</v>
      </c>
      <c r="Q88" s="137">
        <f t="shared" si="87"/>
        <v>20.112839999999998</v>
      </c>
      <c r="R88" s="13">
        <f t="shared" si="88"/>
        <v>23.935110999999999</v>
      </c>
      <c r="S88" s="13">
        <f t="shared" si="88"/>
        <v>4.9989370000000051</v>
      </c>
      <c r="T88" s="13">
        <f t="shared" si="88"/>
        <v>12.330142000000002</v>
      </c>
      <c r="U88" s="137">
        <f t="shared" si="89"/>
        <v>31.455367999999996</v>
      </c>
      <c r="V88" s="13">
        <f t="shared" si="90"/>
        <v>1.7139614267234187</v>
      </c>
      <c r="W88" s="13">
        <f t="shared" si="90"/>
        <v>2.7999555732765842</v>
      </c>
      <c r="X88" s="13">
        <f t="shared" si="90"/>
        <v>9.7407759999999968</v>
      </c>
      <c r="Y88" s="137">
        <f t="shared" si="91"/>
        <v>47.864174117222035</v>
      </c>
      <c r="Z88" s="13">
        <f t="shared" si="92"/>
        <v>12.240315225789708</v>
      </c>
      <c r="AA88" s="13">
        <f t="shared" si="92"/>
        <v>18.071105069052201</v>
      </c>
      <c r="AB88" s="13">
        <f t="shared" si="92"/>
        <v>16.038903644190341</v>
      </c>
      <c r="AC88" s="137">
        <f t="shared" si="93"/>
        <v>18.314272923364936</v>
      </c>
      <c r="AD88" s="13">
        <f t="shared" si="94"/>
        <v>4.3366410766350647</v>
      </c>
      <c r="AE88" s="13">
        <f t="shared" si="94"/>
        <v>4.4554785909193626</v>
      </c>
      <c r="AF88" s="13">
        <f t="shared" si="94"/>
        <v>-0.25927405905219558</v>
      </c>
      <c r="AG88" s="137">
        <f t="shared" si="95"/>
        <v>33.323132374443155</v>
      </c>
      <c r="AH88" s="13">
        <f t="shared" si="96"/>
        <v>13.625260625556848</v>
      </c>
      <c r="AI88" s="13">
        <f t="shared" si="96"/>
        <v>7.9835391710054253</v>
      </c>
      <c r="AJ88" s="13">
        <f t="shared" si="96"/>
        <v>13.322930159599835</v>
      </c>
      <c r="AK88" s="137">
        <f t="shared" si="97"/>
        <v>36.286828422876937</v>
      </c>
      <c r="AL88" s="13">
        <f t="shared" si="98"/>
        <v>16.79931966822214</v>
      </c>
      <c r="AM88" s="13">
        <f t="shared" si="78"/>
        <v>20.934332763754028</v>
      </c>
      <c r="AN88" s="13">
        <f t="shared" si="78"/>
        <v>24.20972905048383</v>
      </c>
      <c r="AO88" s="137">
        <f t="shared" si="99"/>
        <v>30.450989657163898</v>
      </c>
      <c r="AP88" s="13">
        <f t="shared" si="101"/>
        <v>21.433493945381318</v>
      </c>
      <c r="AQ88" s="13">
        <f t="shared" si="79"/>
        <v>24.603999665599076</v>
      </c>
      <c r="AR88" s="13">
        <f t="shared" si="101"/>
        <v>26.200902044789146</v>
      </c>
      <c r="AS88" s="137">
        <f t="shared" si="100"/>
        <v>29.088739301497355</v>
      </c>
      <c r="AT88" s="13">
        <f t="shared" si="101"/>
        <v>28.031747557231753</v>
      </c>
      <c r="AU88" s="13">
        <f t="shared" si="79"/>
        <v>14.944549173788744</v>
      </c>
      <c r="AV88" s="13">
        <f>+AV64-AU60</f>
        <v>-86.326215324378509</v>
      </c>
    </row>
    <row r="89" spans="2:48" ht="15" customHeight="1" x14ac:dyDescent="0.2">
      <c r="B89" s="52" t="s">
        <v>169</v>
      </c>
      <c r="C89" s="13">
        <v>5</v>
      </c>
      <c r="D89" s="13">
        <f t="shared" si="80"/>
        <v>3.1585999999999981</v>
      </c>
      <c r="E89" s="137">
        <f t="shared" si="81"/>
        <v>3.0343488287413503</v>
      </c>
      <c r="F89" s="13">
        <f t="shared" si="82"/>
        <v>4.4394618650017144</v>
      </c>
      <c r="G89" s="13">
        <f t="shared" si="82"/>
        <v>5.2852693062569358</v>
      </c>
      <c r="H89" s="13">
        <f t="shared" si="82"/>
        <v>4.7088669999999979</v>
      </c>
      <c r="I89" s="137">
        <f t="shared" si="83"/>
        <v>4.6606699999999996</v>
      </c>
      <c r="J89" s="13">
        <f t="shared" si="84"/>
        <v>5.8910739999999997</v>
      </c>
      <c r="K89" s="13">
        <f t="shared" si="84"/>
        <v>5.2983600000000024</v>
      </c>
      <c r="L89" s="13">
        <f t="shared" si="84"/>
        <v>4.8297169999999987</v>
      </c>
      <c r="M89" s="137">
        <f t="shared" si="85"/>
        <v>4.456683</v>
      </c>
      <c r="N89" s="13">
        <f t="shared" si="86"/>
        <v>4.4941469999999999</v>
      </c>
      <c r="O89" s="13">
        <f t="shared" si="86"/>
        <v>3.4093500000000017</v>
      </c>
      <c r="P89" s="13">
        <f t="shared" si="86"/>
        <v>2.6027199999999997</v>
      </c>
      <c r="Q89" s="137">
        <f t="shared" si="87"/>
        <v>2.79345</v>
      </c>
      <c r="R89" s="13">
        <f t="shared" si="88"/>
        <v>3.8973779999999998</v>
      </c>
      <c r="S89" s="13">
        <f t="shared" si="88"/>
        <v>3.8988410000000009</v>
      </c>
      <c r="T89" s="13">
        <f t="shared" si="88"/>
        <v>4.4756020000000021</v>
      </c>
      <c r="U89" s="137">
        <f t="shared" si="89"/>
        <v>3.9319209999999996</v>
      </c>
      <c r="V89" s="13">
        <f t="shared" si="90"/>
        <v>3.8075891995687976</v>
      </c>
      <c r="W89" s="13">
        <f t="shared" si="90"/>
        <v>4.6081548004312021</v>
      </c>
      <c r="X89" s="13">
        <f t="shared" si="90"/>
        <v>3.4144249999999996</v>
      </c>
      <c r="Y89" s="137">
        <f t="shared" si="91"/>
        <v>5.418585749119476</v>
      </c>
      <c r="Z89" s="13">
        <f t="shared" si="92"/>
        <v>2.4412320880435985</v>
      </c>
      <c r="AA89" s="13">
        <f t="shared" si="92"/>
        <v>4.6297741694980292</v>
      </c>
      <c r="AB89" s="13">
        <f t="shared" si="92"/>
        <v>6.7191891504392824</v>
      </c>
      <c r="AC89" s="137">
        <f t="shared" si="93"/>
        <v>6.1047576411216449</v>
      </c>
      <c r="AD89" s="13">
        <f t="shared" si="94"/>
        <v>5.2206993588783552</v>
      </c>
      <c r="AE89" s="13">
        <f t="shared" si="94"/>
        <v>7.1219490688201219</v>
      </c>
      <c r="AF89" s="13">
        <f t="shared" si="94"/>
        <v>8.0319437160351654</v>
      </c>
      <c r="AG89" s="137">
        <f t="shared" si="95"/>
        <v>7.8207351491040065</v>
      </c>
      <c r="AH89" s="13">
        <f t="shared" si="96"/>
        <v>6.9148918508959927</v>
      </c>
      <c r="AI89" s="13">
        <f t="shared" si="96"/>
        <v>6.759476893002125</v>
      </c>
      <c r="AJ89" s="13">
        <f t="shared" si="96"/>
        <v>6.0056416091349512</v>
      </c>
      <c r="AK89" s="137">
        <f t="shared" si="97"/>
        <v>7.040727902946271</v>
      </c>
      <c r="AL89" s="13">
        <f t="shared" si="98"/>
        <v>7.5373334899462208</v>
      </c>
      <c r="AM89" s="13">
        <f t="shared" si="78"/>
        <v>9.3533722669472343</v>
      </c>
      <c r="AN89" s="13">
        <f t="shared" si="78"/>
        <v>8.9948936827313162</v>
      </c>
      <c r="AO89" s="137">
        <f t="shared" si="99"/>
        <v>5.5126791620727751</v>
      </c>
      <c r="AP89" s="13">
        <f t="shared" si="101"/>
        <v>5.5005366969580489</v>
      </c>
      <c r="AQ89" s="13">
        <f t="shared" si="79"/>
        <v>3.5456715812125505</v>
      </c>
      <c r="AR89" s="13">
        <f t="shared" si="101"/>
        <v>4.6953723059316452</v>
      </c>
      <c r="AS89" s="137">
        <f t="shared" si="100"/>
        <v>2.0511290533107109</v>
      </c>
      <c r="AT89" s="13">
        <f t="shared" si="101"/>
        <v>4.888743181861984</v>
      </c>
      <c r="AU89" s="13">
        <f t="shared" si="79"/>
        <v>2.6451325573296796</v>
      </c>
      <c r="AV89" s="13">
        <f t="shared" si="79"/>
        <v>6.2846524229018055</v>
      </c>
    </row>
    <row r="90" spans="2:48" ht="15" customHeight="1" x14ac:dyDescent="0.2">
      <c r="B90" s="52" t="s">
        <v>183</v>
      </c>
      <c r="C90" s="13"/>
      <c r="D90" s="13"/>
      <c r="E90" s="137"/>
      <c r="F90" s="13"/>
      <c r="G90" s="13"/>
      <c r="H90" s="13"/>
      <c r="I90" s="137"/>
      <c r="J90" s="13"/>
      <c r="K90" s="13"/>
      <c r="L90" s="13"/>
      <c r="M90" s="137"/>
      <c r="N90" s="13"/>
      <c r="O90" s="13"/>
      <c r="P90" s="13"/>
      <c r="Q90" s="137"/>
      <c r="R90" s="13"/>
      <c r="S90" s="13"/>
      <c r="T90" s="13"/>
      <c r="U90" s="137"/>
      <c r="V90" s="13"/>
      <c r="W90" s="13"/>
      <c r="X90" s="13"/>
      <c r="Y90" s="137"/>
      <c r="Z90" s="13"/>
      <c r="AA90" s="13"/>
      <c r="AB90" s="13"/>
      <c r="AC90" s="137"/>
      <c r="AD90" s="13"/>
      <c r="AE90" s="13"/>
      <c r="AF90" s="13"/>
      <c r="AG90" s="137"/>
      <c r="AH90" s="13"/>
      <c r="AI90" s="13"/>
      <c r="AJ90" s="13"/>
      <c r="AK90" s="137"/>
      <c r="AL90" s="13"/>
      <c r="AM90" s="13">
        <f t="shared" si="78"/>
        <v>0.24933998383649492</v>
      </c>
      <c r="AN90" s="13">
        <f t="shared" si="78"/>
        <v>-0.24329467535889959</v>
      </c>
      <c r="AO90" s="137"/>
      <c r="AP90" s="13">
        <f t="shared" si="101"/>
        <v>-0.226967728874095</v>
      </c>
      <c r="AQ90" s="13">
        <f t="shared" si="101"/>
        <v>2.66244453506456</v>
      </c>
      <c r="AR90" s="13">
        <f t="shared" si="101"/>
        <v>-2.17296827466319</v>
      </c>
      <c r="AS90" s="137"/>
      <c r="AT90" s="13">
        <f t="shared" si="101"/>
        <v>2.0000040394335352</v>
      </c>
      <c r="AU90" s="13">
        <f t="shared" si="101"/>
        <v>-1.2451727403150741</v>
      </c>
      <c r="AV90" s="13">
        <f t="shared" si="79"/>
        <v>-1.7621246820215781</v>
      </c>
    </row>
    <row r="91" spans="2:48" ht="15" customHeight="1" x14ac:dyDescent="0.2">
      <c r="B91" s="24" t="s">
        <v>75</v>
      </c>
      <c r="C91" s="3">
        <v>-1</v>
      </c>
      <c r="D91" s="3">
        <f t="shared" ref="D91:D97" si="103">+D63-C63</f>
        <v>0.39680000000000071</v>
      </c>
      <c r="E91" s="135">
        <f t="shared" ref="E91:E97" si="104">+E63</f>
        <v>0</v>
      </c>
      <c r="F91" s="3">
        <f t="shared" ref="F91:H97" si="105">+F63-E63</f>
        <v>4.9825404624953764</v>
      </c>
      <c r="G91" s="3">
        <f t="shared" si="105"/>
        <v>0.75904553750462345</v>
      </c>
      <c r="H91" s="3">
        <f t="shared" si="105"/>
        <v>0.72802400000000045</v>
      </c>
      <c r="I91" s="135">
        <f t="shared" ref="I91:I97" si="106">+I63</f>
        <v>0.66581000000000001</v>
      </c>
      <c r="J91" s="3">
        <f t="shared" ref="J91:L97" si="107">+J63-I63</f>
        <v>0.65315799999999991</v>
      </c>
      <c r="K91" s="3">
        <f t="shared" si="107"/>
        <v>1.8740000000001533E-3</v>
      </c>
      <c r="L91" s="3">
        <f t="shared" si="107"/>
        <v>1.3339999999999907E-2</v>
      </c>
      <c r="M91" s="135">
        <f t="shared" ref="M91:M97" si="108">+M63</f>
        <v>0.63666900000000004</v>
      </c>
      <c r="N91" s="3">
        <f t="shared" ref="N91:P97" si="109">+N63-M63</f>
        <v>-0.63666900000000004</v>
      </c>
      <c r="O91" s="3">
        <f t="shared" si="109"/>
        <v>0.61800900000000003</v>
      </c>
      <c r="P91" s="3">
        <f t="shared" si="109"/>
        <v>0.57902300000000007</v>
      </c>
      <c r="Q91" s="135">
        <f t="shared" ref="Q91:Q97" si="110">+Q63</f>
        <v>0</v>
      </c>
      <c r="R91" s="3">
        <f t="shared" ref="R91:T97" si="111">+R63-Q63</f>
        <v>-0.55756899999999998</v>
      </c>
      <c r="S91" s="3">
        <f t="shared" si="111"/>
        <v>1.1149200000000001</v>
      </c>
      <c r="T91" s="3">
        <f t="shared" si="111"/>
        <v>-0.55735100000000004</v>
      </c>
      <c r="U91" s="135">
        <f t="shared" ref="U91:U97" si="112">+U63</f>
        <v>0</v>
      </c>
      <c r="V91" s="3">
        <f t="shared" ref="V91:X97" si="113">+V63-U63</f>
        <v>0</v>
      </c>
      <c r="W91" s="3">
        <f t="shared" si="113"/>
        <v>0</v>
      </c>
      <c r="X91" s="3">
        <f t="shared" si="113"/>
        <v>0</v>
      </c>
      <c r="Y91" s="135">
        <f t="shared" ref="Y91:Y97" si="114">+Y63</f>
        <v>0</v>
      </c>
      <c r="Z91" s="3">
        <f t="shared" ref="Z91:AB97" si="115">+Z63-Y63</f>
        <v>-0.46234222571547495</v>
      </c>
      <c r="AA91" s="3">
        <f t="shared" si="115"/>
        <v>-0.92539021946909195</v>
      </c>
      <c r="AB91" s="3">
        <f t="shared" si="115"/>
        <v>-1.8137310809988312</v>
      </c>
      <c r="AC91" s="135">
        <f t="shared" ref="AC91:AC97" si="116">+AC63</f>
        <v>-0.406983842741443</v>
      </c>
      <c r="AD91" s="3">
        <f t="shared" ref="AD91:AF97" si="117">+AD63-AC63</f>
        <v>-0.76461515725855711</v>
      </c>
      <c r="AE91" s="3">
        <f t="shared" si="117"/>
        <v>-0.33431169949551998</v>
      </c>
      <c r="AF91" s="3">
        <f t="shared" si="117"/>
        <v>-0.70070178257575377</v>
      </c>
      <c r="AG91" s="135">
        <f t="shared" ref="AG91:AG97" si="118">+AG63</f>
        <v>-0.68006392600904397</v>
      </c>
      <c r="AH91" s="3">
        <f t="shared" ref="AH91:AJ97" si="119">+AH63-AG63</f>
        <v>-1.3760700739909562</v>
      </c>
      <c r="AI91" s="3">
        <f t="shared" si="119"/>
        <v>-0.67340300228598382</v>
      </c>
      <c r="AJ91" s="3">
        <f t="shared" si="119"/>
        <v>-0.91514011245507421</v>
      </c>
      <c r="AK91" s="135">
        <f t="shared" ref="AK91:AK97" si="120">+AK63</f>
        <v>0.27079722703639503</v>
      </c>
      <c r="AL91" s="3">
        <f t="shared" ref="AL91:AN101" si="121">+AL63-AK63</f>
        <v>3.5800114427842633</v>
      </c>
      <c r="AM91" s="3">
        <f t="shared" si="78"/>
        <v>-1.9029012789034712</v>
      </c>
      <c r="AN91" s="3">
        <f t="shared" si="78"/>
        <v>-0.85036314616481912</v>
      </c>
      <c r="AO91" s="135">
        <f t="shared" ref="AO91:AO97" si="122">+AO63</f>
        <v>0.15750511891636498</v>
      </c>
      <c r="AP91" s="3">
        <f t="shared" si="101"/>
        <v>-0.64698137931773503</v>
      </c>
      <c r="AQ91" s="3">
        <f t="shared" si="101"/>
        <v>0.82693823345656337</v>
      </c>
      <c r="AR91" s="3">
        <f t="shared" si="101"/>
        <v>-0.95856712615761341</v>
      </c>
      <c r="AS91" s="135">
        <f t="shared" ref="AS91:AS97" si="123">+AS63</f>
        <v>0.83891178280408074</v>
      </c>
      <c r="AT91" s="3">
        <f t="shared" si="101"/>
        <v>-9.5811617314819797E-2</v>
      </c>
      <c r="AU91" s="3">
        <f t="shared" si="101"/>
        <v>1.0551532336374345</v>
      </c>
      <c r="AV91" s="73"/>
    </row>
    <row r="92" spans="2:48" ht="15" customHeight="1" x14ac:dyDescent="0.2">
      <c r="B92" s="26" t="s">
        <v>76</v>
      </c>
      <c r="C92" s="18">
        <v>1</v>
      </c>
      <c r="D92" s="18">
        <f t="shared" si="103"/>
        <v>-2.1629999999999998</v>
      </c>
      <c r="E92" s="144">
        <f t="shared" si="104"/>
        <v>0</v>
      </c>
      <c r="F92" s="18">
        <f t="shared" si="105"/>
        <v>1.2456351156238441</v>
      </c>
      <c r="G92" s="18">
        <f t="shared" si="105"/>
        <v>3.027288437615594E-2</v>
      </c>
      <c r="H92" s="18">
        <f t="shared" si="105"/>
        <v>-0.62894700000000003</v>
      </c>
      <c r="I92" s="144">
        <f t="shared" si="106"/>
        <v>0.66581000000000001</v>
      </c>
      <c r="J92" s="18">
        <f t="shared" si="107"/>
        <v>1.3126419999999999</v>
      </c>
      <c r="K92" s="18">
        <f t="shared" si="107"/>
        <v>2.811000000000341E-3</v>
      </c>
      <c r="L92" s="18">
        <f t="shared" si="107"/>
        <v>2.0009999999999639E-2</v>
      </c>
      <c r="M92" s="144">
        <f t="shared" si="108"/>
        <v>-0.63666900000000004</v>
      </c>
      <c r="N92" s="18">
        <f t="shared" si="109"/>
        <v>-1.2813660000000002</v>
      </c>
      <c r="O92" s="18">
        <f t="shared" si="109"/>
        <v>6.4008000000000065E-2</v>
      </c>
      <c r="P92" s="18">
        <f t="shared" si="109"/>
        <v>-0.5400370000000001</v>
      </c>
      <c r="Q92" s="144">
        <f t="shared" si="110"/>
        <v>0</v>
      </c>
      <c r="R92" s="18">
        <f t="shared" si="111"/>
        <v>2.7878449999999999</v>
      </c>
      <c r="S92" s="18">
        <f t="shared" si="111"/>
        <v>1.1136120000000003</v>
      </c>
      <c r="T92" s="18">
        <f t="shared" si="111"/>
        <v>-2.7855110000000001</v>
      </c>
      <c r="U92" s="144">
        <f t="shared" si="112"/>
        <v>0</v>
      </c>
      <c r="V92" s="18">
        <f t="shared" si="113"/>
        <v>-1.1056443142241139</v>
      </c>
      <c r="W92" s="18">
        <f t="shared" si="113"/>
        <v>-1.5786306857758861</v>
      </c>
      <c r="X92" s="18">
        <f t="shared" si="113"/>
        <v>-1.5189489999999997</v>
      </c>
      <c r="Y92" s="144">
        <f t="shared" si="114"/>
        <v>-0.45154881242662298</v>
      </c>
      <c r="Z92" s="18">
        <f t="shared" si="115"/>
        <v>-0.93547786471980188</v>
      </c>
      <c r="AA92" s="18">
        <f t="shared" si="115"/>
        <v>-0.92586073149452019</v>
      </c>
      <c r="AB92" s="18">
        <f t="shared" si="115"/>
        <v>-4.5473915760377652</v>
      </c>
      <c r="AC92" s="144">
        <f t="shared" si="116"/>
        <v>-1.627935370965772</v>
      </c>
      <c r="AD92" s="18">
        <f t="shared" si="117"/>
        <v>-0.7152626290342281</v>
      </c>
      <c r="AE92" s="18">
        <f t="shared" si="117"/>
        <v>8.4331950756720175E-2</v>
      </c>
      <c r="AF92" s="18">
        <f t="shared" si="117"/>
        <v>-1.051052673863631</v>
      </c>
      <c r="AG92" s="144">
        <f t="shared" si="118"/>
        <v>-0.68006392600904397</v>
      </c>
      <c r="AH92" s="18">
        <f t="shared" si="119"/>
        <v>-1.3760700739909562</v>
      </c>
      <c r="AI92" s="18">
        <f t="shared" si="119"/>
        <v>-0.33221087700023588</v>
      </c>
      <c r="AJ92" s="18">
        <f t="shared" si="119"/>
        <v>-1.5876665208990999</v>
      </c>
      <c r="AK92" s="144">
        <f t="shared" si="120"/>
        <v>-0.81239168110918514</v>
      </c>
      <c r="AL92" s="18">
        <f t="shared" si="121"/>
        <v>-1.113012653801144</v>
      </c>
      <c r="AM92" s="18">
        <f t="shared" si="78"/>
        <v>-0.85732050925708103</v>
      </c>
      <c r="AN92" s="18">
        <f t="shared" si="78"/>
        <v>-1.6074521348420618</v>
      </c>
      <c r="AO92" s="144">
        <f t="shared" si="122"/>
        <v>-0.84002730088728006</v>
      </c>
      <c r="AP92" s="18">
        <f t="shared" si="101"/>
        <v>-2.0968302615209398</v>
      </c>
      <c r="AQ92" s="18">
        <f t="shared" si="101"/>
        <v>-1.1463671225113807</v>
      </c>
      <c r="AR92" s="18">
        <f t="shared" si="101"/>
        <v>-5.0263175605825596</v>
      </c>
      <c r="AS92" s="144">
        <f t="shared" si="123"/>
        <v>-4.9562736579089721</v>
      </c>
      <c r="AT92" s="18">
        <f t="shared" si="101"/>
        <v>-3.8278251374003842</v>
      </c>
      <c r="AU92" s="18">
        <f t="shared" si="101"/>
        <v>-2.721101957290994</v>
      </c>
      <c r="AV92" s="18">
        <f t="shared" si="79"/>
        <v>-2.7559785392603082</v>
      </c>
    </row>
    <row r="93" spans="2:48" ht="15" customHeight="1" x14ac:dyDescent="0.2">
      <c r="B93" s="43" t="s">
        <v>78</v>
      </c>
      <c r="C93" s="44">
        <v>75</v>
      </c>
      <c r="D93" s="44">
        <f t="shared" si="103"/>
        <v>-64.744000000000028</v>
      </c>
      <c r="E93" s="44">
        <f t="shared" si="104"/>
        <v>56.438888214589113</v>
      </c>
      <c r="F93" s="44">
        <f t="shared" si="105"/>
        <v>-0.38530801151612337</v>
      </c>
      <c r="G93" s="44">
        <f t="shared" si="105"/>
        <v>40.915427796927013</v>
      </c>
      <c r="H93" s="44">
        <f t="shared" si="105"/>
        <v>33.717114000000009</v>
      </c>
      <c r="I93" s="44">
        <f t="shared" si="106"/>
        <v>71.907479999999993</v>
      </c>
      <c r="J93" s="44">
        <f t="shared" si="107"/>
        <v>44.161704</v>
      </c>
      <c r="K93" s="44">
        <f t="shared" si="107"/>
        <v>31.204699000000019</v>
      </c>
      <c r="L93" s="44">
        <f t="shared" si="107"/>
        <v>52.18632599999998</v>
      </c>
      <c r="M93" s="44">
        <f t="shared" si="108"/>
        <v>59.846886000000005</v>
      </c>
      <c r="N93" s="44">
        <f t="shared" si="109"/>
        <v>60.989319000000002</v>
      </c>
      <c r="O93" s="44">
        <f t="shared" si="109"/>
        <v>53.442333000000019</v>
      </c>
      <c r="P93" s="44">
        <f t="shared" si="109"/>
        <v>42.384253999999999</v>
      </c>
      <c r="Q93" s="44">
        <f t="shared" si="110"/>
        <v>54.192929999999997</v>
      </c>
      <c r="R93" s="44">
        <f t="shared" si="111"/>
        <v>53.975456000000001</v>
      </c>
      <c r="S93" s="44">
        <f t="shared" si="111"/>
        <v>37.857575999999995</v>
      </c>
      <c r="T93" s="44">
        <f t="shared" si="111"/>
        <v>10.764451000000037</v>
      </c>
      <c r="U93" s="44">
        <f t="shared" si="112"/>
        <v>67.966062999999991</v>
      </c>
      <c r="V93" s="44">
        <f t="shared" si="113"/>
        <v>-56.909619857758855</v>
      </c>
      <c r="W93" s="44">
        <f t="shared" si="113"/>
        <v>20.618001857758863</v>
      </c>
      <c r="X93" s="44">
        <f t="shared" si="113"/>
        <v>-26.420414999999998</v>
      </c>
      <c r="Y93" s="44">
        <f t="shared" si="114"/>
        <v>76.311749300099279</v>
      </c>
      <c r="Z93" s="44">
        <f t="shared" si="115"/>
        <v>39.736149354484937</v>
      </c>
      <c r="AA93" s="44">
        <f t="shared" si="115"/>
        <v>38.91555772435909</v>
      </c>
      <c r="AB93" s="44">
        <f t="shared" si="115"/>
        <v>-68.981293104303475</v>
      </c>
      <c r="AC93" s="44">
        <f t="shared" si="116"/>
        <v>30.116804362866784</v>
      </c>
      <c r="AD93" s="44">
        <f t="shared" si="117"/>
        <v>31.196876637133219</v>
      </c>
      <c r="AE93" s="44">
        <f t="shared" si="117"/>
        <v>31.676304693848365</v>
      </c>
      <c r="AF93" s="44">
        <f t="shared" si="117"/>
        <v>15.134025927644046</v>
      </c>
      <c r="AG93" s="44">
        <f t="shared" si="118"/>
        <v>63.585977081845613</v>
      </c>
      <c r="AH93" s="44">
        <f t="shared" si="119"/>
        <v>38.878033918154387</v>
      </c>
      <c r="AI93" s="44">
        <f t="shared" si="119"/>
        <v>16.612040724726057</v>
      </c>
      <c r="AJ93" s="44">
        <f t="shared" si="119"/>
        <v>56.199784066002991</v>
      </c>
      <c r="AK93" s="44">
        <f t="shared" si="120"/>
        <v>60.387781629116098</v>
      </c>
      <c r="AL93" s="44">
        <f t="shared" si="121"/>
        <v>73.015233003956723</v>
      </c>
      <c r="AM93" s="44">
        <f t="shared" si="78"/>
        <v>56.657092223561307</v>
      </c>
      <c r="AN93" s="44">
        <f t="shared" si="78"/>
        <v>85.697884637398346</v>
      </c>
      <c r="AO93" s="44">
        <f t="shared" si="122"/>
        <v>77.571271066309762</v>
      </c>
      <c r="AP93" s="44">
        <f t="shared" si="101"/>
        <v>67.558440142696426</v>
      </c>
      <c r="AQ93" s="44">
        <f t="shared" si="101"/>
        <v>68.255773362919086</v>
      </c>
      <c r="AR93" s="44">
        <f t="shared" si="101"/>
        <v>97.413049619913323</v>
      </c>
      <c r="AS93" s="44">
        <f t="shared" si="123"/>
        <v>175.76982602696319</v>
      </c>
      <c r="AT93" s="44">
        <f t="shared" si="101"/>
        <v>72.883660813971346</v>
      </c>
      <c r="AU93" s="44">
        <f t="shared" si="101"/>
        <v>70.703075337345865</v>
      </c>
      <c r="AV93" s="44">
        <f t="shared" si="79"/>
        <v>19.380918425472601</v>
      </c>
    </row>
    <row r="94" spans="2:48" ht="15" customHeight="1" x14ac:dyDescent="0.2">
      <c r="B94" s="24" t="s">
        <v>58</v>
      </c>
      <c r="C94" s="3">
        <v>1</v>
      </c>
      <c r="D94" s="3">
        <f t="shared" si="103"/>
        <v>-16.255200000000002</v>
      </c>
      <c r="E94" s="135">
        <f t="shared" si="104"/>
        <v>4.2480883602378903</v>
      </c>
      <c r="F94" s="3">
        <f t="shared" si="105"/>
        <v>0.11163454444556464</v>
      </c>
      <c r="G94" s="3">
        <f t="shared" si="105"/>
        <v>14.778897095316545</v>
      </c>
      <c r="H94" s="3">
        <f t="shared" si="105"/>
        <v>-2.9645949999999992</v>
      </c>
      <c r="I94" s="135">
        <f t="shared" si="106"/>
        <v>6.6581000000000001</v>
      </c>
      <c r="J94" s="3">
        <f t="shared" si="107"/>
        <v>3.8936439999999992</v>
      </c>
      <c r="K94" s="3">
        <f t="shared" si="107"/>
        <v>10.581728000000002</v>
      </c>
      <c r="L94" s="3">
        <f t="shared" si="107"/>
        <v>4.8830770000000001</v>
      </c>
      <c r="M94" s="135">
        <f t="shared" si="108"/>
        <v>1.2733380000000001</v>
      </c>
      <c r="N94" s="3">
        <f t="shared" si="109"/>
        <v>14.070942000000001</v>
      </c>
      <c r="O94" s="3">
        <f t="shared" si="109"/>
        <v>13.084134000000002</v>
      </c>
      <c r="P94" s="3">
        <f t="shared" si="109"/>
        <v>14.664738</v>
      </c>
      <c r="Q94" s="135">
        <f t="shared" si="110"/>
        <v>20.671530000000001</v>
      </c>
      <c r="R94" s="3">
        <f t="shared" si="111"/>
        <v>4.9766439999999967</v>
      </c>
      <c r="S94" s="3">
        <f t="shared" si="111"/>
        <v>15.595800000000004</v>
      </c>
      <c r="T94" s="3">
        <f t="shared" si="111"/>
        <v>-27.852622</v>
      </c>
      <c r="U94" s="135">
        <f t="shared" si="112"/>
        <v>17.974495999999998</v>
      </c>
      <c r="V94" s="3">
        <f t="shared" si="113"/>
        <v>-75.468000339653926</v>
      </c>
      <c r="W94" s="3">
        <f t="shared" si="113"/>
        <v>-4.244820660346079</v>
      </c>
      <c r="X94" s="3">
        <f t="shared" si="113"/>
        <v>-52.274125999999995</v>
      </c>
      <c r="Y94" s="135">
        <f t="shared" si="114"/>
        <v>10.837171498238952</v>
      </c>
      <c r="Z94" s="3">
        <f t="shared" si="115"/>
        <v>8.5812019818109952</v>
      </c>
      <c r="AA94" s="3">
        <f t="shared" si="115"/>
        <v>10.18658535055415</v>
      </c>
      <c r="AB94" s="3">
        <f t="shared" si="115"/>
        <v>-119.70328949605116</v>
      </c>
      <c r="AC94" s="135">
        <f t="shared" si="116"/>
        <v>5.6977737983802017</v>
      </c>
      <c r="AD94" s="3">
        <f t="shared" si="117"/>
        <v>0.94128720161979818</v>
      </c>
      <c r="AE94" s="3">
        <f t="shared" si="117"/>
        <v>5.4082245959641604</v>
      </c>
      <c r="AF94" s="3">
        <f t="shared" si="117"/>
        <v>3.3990017785347568</v>
      </c>
      <c r="AG94" s="135">
        <f t="shared" si="118"/>
        <v>11.561086742153748</v>
      </c>
      <c r="AH94" s="3">
        <f t="shared" si="119"/>
        <v>5.5733632578462533</v>
      </c>
      <c r="AI94" s="3">
        <f t="shared" si="119"/>
        <v>-12.559404792043406</v>
      </c>
      <c r="AJ94" s="3">
        <f t="shared" si="119"/>
        <v>22.263031727863922</v>
      </c>
      <c r="AK94" s="135">
        <f t="shared" si="120"/>
        <v>7.853119584055456</v>
      </c>
      <c r="AL94" s="3">
        <f t="shared" si="121"/>
        <v>36.156122356752071</v>
      </c>
      <c r="AM94" s="3">
        <f t="shared" si="121"/>
        <v>17.981241140225457</v>
      </c>
      <c r="AN94" s="3">
        <f t="shared" si="121"/>
        <v>45.180871014179111</v>
      </c>
      <c r="AO94" s="135">
        <f t="shared" si="122"/>
        <v>34.152359951698479</v>
      </c>
      <c r="AP94" s="3">
        <f t="shared" si="101"/>
        <v>34.132270493724839</v>
      </c>
      <c r="AQ94" s="3">
        <f t="shared" si="101"/>
        <v>34.304026660182956</v>
      </c>
      <c r="AR94" s="3">
        <f t="shared" si="101"/>
        <v>45.618005282335957</v>
      </c>
      <c r="AS94" s="135">
        <f t="shared" si="123"/>
        <v>116.50096030132963</v>
      </c>
      <c r="AT94" s="3">
        <f t="shared" si="101"/>
        <v>36.447595671409118</v>
      </c>
      <c r="AU94" s="3">
        <f t="shared" si="101"/>
        <v>35.56594578451174</v>
      </c>
      <c r="AV94" s="3">
        <f t="shared" si="101"/>
        <v>-14.940125963767258</v>
      </c>
    </row>
    <row r="95" spans="2:48" ht="15" customHeight="1" x14ac:dyDescent="0.2">
      <c r="B95" s="24" t="s">
        <v>74</v>
      </c>
      <c r="C95" s="3">
        <v>38</v>
      </c>
      <c r="D95" s="3">
        <f t="shared" si="103"/>
        <v>-84.820600000000013</v>
      </c>
      <c r="E95" s="135">
        <f t="shared" si="104"/>
        <v>5.4618278917344307</v>
      </c>
      <c r="F95" s="3">
        <f t="shared" si="105"/>
        <v>-11.690003469853652</v>
      </c>
      <c r="G95" s="3">
        <f t="shared" si="105"/>
        <v>8.7799915781192208</v>
      </c>
      <c r="H95" s="3">
        <f t="shared" si="105"/>
        <v>5.8586770000000001</v>
      </c>
      <c r="I95" s="135">
        <f t="shared" si="106"/>
        <v>35.953739999999996</v>
      </c>
      <c r="J95" s="3">
        <f t="shared" si="107"/>
        <v>13.507559999999998</v>
      </c>
      <c r="K95" s="3">
        <f t="shared" si="107"/>
        <v>11.957853000000014</v>
      </c>
      <c r="L95" s="3">
        <f t="shared" si="107"/>
        <v>15.963402999999985</v>
      </c>
      <c r="M95" s="135">
        <f t="shared" si="108"/>
        <v>44.566830000000003</v>
      </c>
      <c r="N95" s="3">
        <f t="shared" si="109"/>
        <v>25.121774999999992</v>
      </c>
      <c r="O95" s="3">
        <f t="shared" si="109"/>
        <v>10.034556000000009</v>
      </c>
      <c r="P95" s="3">
        <f t="shared" si="109"/>
        <v>2.2735310000000055</v>
      </c>
      <c r="Q95" s="135">
        <f t="shared" si="110"/>
        <v>24.582360000000001</v>
      </c>
      <c r="R95" s="3">
        <f t="shared" si="111"/>
        <v>20.580728999999998</v>
      </c>
      <c r="S95" s="3">
        <f t="shared" si="111"/>
        <v>6.1132030000000057</v>
      </c>
      <c r="T95" s="3">
        <f t="shared" si="111"/>
        <v>13.44857600000001</v>
      </c>
      <c r="U95" s="135">
        <f t="shared" si="112"/>
        <v>29.208555999999998</v>
      </c>
      <c r="V95" s="3">
        <f t="shared" si="113"/>
        <v>-10.965424815302118</v>
      </c>
      <c r="W95" s="3">
        <f t="shared" si="113"/>
        <v>-0.52691618469788182</v>
      </c>
      <c r="X95" s="3">
        <f t="shared" si="113"/>
        <v>15.384174000000002</v>
      </c>
      <c r="Y95" s="135">
        <f t="shared" si="114"/>
        <v>45.606430055088921</v>
      </c>
      <c r="Z95" s="3">
        <f t="shared" si="115"/>
        <v>7.5629259021906989</v>
      </c>
      <c r="AA95" s="3">
        <f t="shared" si="115"/>
        <v>16.217266301948726</v>
      </c>
      <c r="AB95" s="3">
        <f t="shared" si="115"/>
        <v>30.3160989847689</v>
      </c>
      <c r="AC95" s="135">
        <f t="shared" si="116"/>
        <v>19.942208294330708</v>
      </c>
      <c r="AD95" s="3">
        <f t="shared" si="117"/>
        <v>5.051903705669293</v>
      </c>
      <c r="AE95" s="3">
        <f t="shared" si="117"/>
        <v>-8.4290943055492811</v>
      </c>
      <c r="AF95" s="3">
        <f t="shared" si="117"/>
        <v>11.017638331440203</v>
      </c>
      <c r="AG95" s="135">
        <f t="shared" si="118"/>
        <v>38.083579856506468</v>
      </c>
      <c r="AH95" s="3">
        <f t="shared" si="119"/>
        <v>18.117416143493529</v>
      </c>
      <c r="AI95" s="3">
        <f t="shared" si="119"/>
        <v>2.8849502963594205</v>
      </c>
      <c r="AJ95" s="3">
        <f t="shared" si="119"/>
        <v>-12.699146654200497</v>
      </c>
      <c r="AK95" s="135">
        <f t="shared" si="120"/>
        <v>31.141681109185431</v>
      </c>
      <c r="AL95" s="3">
        <f t="shared" si="121"/>
        <v>26.070333413864351</v>
      </c>
      <c r="AM95" s="3">
        <f t="shared" si="121"/>
        <v>20.213964996095406</v>
      </c>
      <c r="AN95" s="3">
        <f t="shared" si="121"/>
        <v>17.69049736382928</v>
      </c>
      <c r="AO95" s="135">
        <f t="shared" si="122"/>
        <v>23.100750774400201</v>
      </c>
      <c r="AP95" s="3">
        <f t="shared" si="101"/>
        <v>12.463370615712339</v>
      </c>
      <c r="AQ95" s="3">
        <f>+AQ67-AP67</f>
        <v>9.12514414661063</v>
      </c>
      <c r="AR95" s="3">
        <f t="shared" si="101"/>
        <v>51.377482563730211</v>
      </c>
      <c r="AS95" s="135">
        <f t="shared" si="123"/>
        <v>21.747002554588025</v>
      </c>
      <c r="AT95" s="3">
        <f t="shared" si="101"/>
        <v>26.602019635208574</v>
      </c>
      <c r="AU95" s="3">
        <f t="shared" si="101"/>
        <v>10.994227481828105</v>
      </c>
      <c r="AV95" s="3">
        <f t="shared" si="101"/>
        <v>8.6319583972144756</v>
      </c>
    </row>
    <row r="96" spans="2:48" ht="15" customHeight="1" x14ac:dyDescent="0.2">
      <c r="B96" s="52" t="s">
        <v>184</v>
      </c>
      <c r="C96" s="3">
        <v>35</v>
      </c>
      <c r="D96" s="3">
        <f t="shared" si="103"/>
        <v>-86.735600000000005</v>
      </c>
      <c r="E96" s="135">
        <f t="shared" si="104"/>
        <v>3.64121859448962</v>
      </c>
      <c r="F96" s="3">
        <f t="shared" si="105"/>
        <v>-14.851934635104218</v>
      </c>
      <c r="G96" s="3">
        <f t="shared" si="105"/>
        <v>5.4691300406145977</v>
      </c>
      <c r="H96" s="3">
        <f t="shared" si="105"/>
        <v>2.5067809999999997</v>
      </c>
      <c r="I96" s="135">
        <f t="shared" si="106"/>
        <v>32.624690000000001</v>
      </c>
      <c r="J96" s="3">
        <f t="shared" si="107"/>
        <v>9.5822859999999963</v>
      </c>
      <c r="K96" s="3">
        <f t="shared" si="107"/>
        <v>7.9850200000000058</v>
      </c>
      <c r="L96" s="3">
        <f t="shared" si="107"/>
        <v>13.181648999999993</v>
      </c>
      <c r="M96" s="135">
        <f t="shared" si="108"/>
        <v>41.383485</v>
      </c>
      <c r="N96" s="3">
        <f t="shared" si="109"/>
        <v>22.551015</v>
      </c>
      <c r="O96" s="3">
        <f t="shared" si="109"/>
        <v>7.1365350000000092</v>
      </c>
      <c r="P96" s="3">
        <f t="shared" si="109"/>
        <v>0.75088499999999669</v>
      </c>
      <c r="Q96" s="135">
        <f t="shared" si="110"/>
        <v>22.906289999999998</v>
      </c>
      <c r="R96" s="3">
        <f t="shared" si="111"/>
        <v>17.796247000000001</v>
      </c>
      <c r="S96" s="3">
        <f t="shared" si="111"/>
        <v>3.8855429999999984</v>
      </c>
      <c r="T96" s="3">
        <f t="shared" si="111"/>
        <v>10.093274000000008</v>
      </c>
      <c r="U96" s="135">
        <f t="shared" si="112"/>
        <v>25.838337999999997</v>
      </c>
      <c r="V96" s="3">
        <f t="shared" si="113"/>
        <v>-13.123428386422688</v>
      </c>
      <c r="W96" s="3">
        <f t="shared" si="113"/>
        <v>-4.125229613577309</v>
      </c>
      <c r="X96" s="3">
        <f t="shared" si="113"/>
        <v>12.426440000000001</v>
      </c>
      <c r="Y96" s="135">
        <f t="shared" si="114"/>
        <v>41.542490743249317</v>
      </c>
      <c r="Z96" s="3">
        <f t="shared" si="115"/>
        <v>5.6164162797291297</v>
      </c>
      <c r="AA96" s="3">
        <f t="shared" si="115"/>
        <v>12.976165601686127</v>
      </c>
      <c r="AB96" s="3">
        <f t="shared" si="115"/>
        <v>24.932386785351426</v>
      </c>
      <c r="AC96" s="135">
        <f t="shared" si="116"/>
        <v>15.058402181433392</v>
      </c>
      <c r="AD96" s="3">
        <f t="shared" si="117"/>
        <v>1.343983818566608</v>
      </c>
      <c r="AE96" s="3">
        <f t="shared" si="117"/>
        <v>-13.76704227588284</v>
      </c>
      <c r="AF96" s="3">
        <f t="shared" si="117"/>
        <v>5.0877999631322979</v>
      </c>
      <c r="AG96" s="135">
        <f t="shared" si="118"/>
        <v>31.96300452242507</v>
      </c>
      <c r="AH96" s="3">
        <f t="shared" si="119"/>
        <v>12.586565477574933</v>
      </c>
      <c r="AI96" s="3">
        <f t="shared" si="119"/>
        <v>-1.9005543392814985</v>
      </c>
      <c r="AJ96" s="3">
        <f t="shared" si="119"/>
        <v>-18.461612990164209</v>
      </c>
      <c r="AK96" s="135">
        <f t="shared" si="120"/>
        <v>25.725736568457528</v>
      </c>
      <c r="AL96" s="3">
        <f t="shared" si="121"/>
        <v>20.483967469390372</v>
      </c>
      <c r="AM96" s="3">
        <f t="shared" si="121"/>
        <v>14.175425080584901</v>
      </c>
      <c r="AN96" s="3">
        <f t="shared" si="121"/>
        <v>9.8577025457187517</v>
      </c>
      <c r="AO96" s="135">
        <f t="shared" si="122"/>
        <v>20.738173990654726</v>
      </c>
      <c r="AP96" s="3">
        <f t="shared" si="101"/>
        <v>5.6935440710192537</v>
      </c>
      <c r="AQ96" s="3">
        <f t="shared" si="101"/>
        <v>-0.13880193824937948</v>
      </c>
      <c r="AR96" s="3">
        <f t="shared" si="101"/>
        <v>53.208543473685154</v>
      </c>
      <c r="AS96" s="135">
        <f t="shared" si="123"/>
        <v>20.697756810680811</v>
      </c>
      <c r="AT96" s="3">
        <f t="shared" si="101"/>
        <v>21.297367484210366</v>
      </c>
      <c r="AU96" s="3">
        <f t="shared" si="101"/>
        <v>10.367401886371802</v>
      </c>
      <c r="AV96" s="3">
        <f t="shared" si="101"/>
        <v>6.0025464665012862</v>
      </c>
    </row>
    <row r="97" spans="1:48" ht="15" customHeight="1" x14ac:dyDescent="0.2">
      <c r="B97" s="52" t="s">
        <v>169</v>
      </c>
      <c r="C97" s="3">
        <v>3</v>
      </c>
      <c r="D97" s="3">
        <f t="shared" si="103"/>
        <v>1.9149999999999991</v>
      </c>
      <c r="E97" s="135">
        <f t="shared" si="104"/>
        <v>1.82060929724481</v>
      </c>
      <c r="F97" s="3">
        <f t="shared" si="105"/>
        <v>3.1619311652505662</v>
      </c>
      <c r="G97" s="3">
        <f t="shared" si="105"/>
        <v>3.310861537504624</v>
      </c>
      <c r="H97" s="3">
        <f t="shared" si="105"/>
        <v>3.351896</v>
      </c>
      <c r="I97" s="135">
        <f t="shared" si="106"/>
        <v>3.3290500000000001</v>
      </c>
      <c r="J97" s="3">
        <f t="shared" si="107"/>
        <v>3.9252739999999995</v>
      </c>
      <c r="K97" s="3">
        <f t="shared" si="107"/>
        <v>3.9728330000000023</v>
      </c>
      <c r="L97" s="3">
        <f t="shared" si="107"/>
        <v>2.7817539999999976</v>
      </c>
      <c r="M97" s="135">
        <f t="shared" si="108"/>
        <v>3.1833450000000001</v>
      </c>
      <c r="N97" s="3">
        <f t="shared" si="109"/>
        <v>2.5707599999999999</v>
      </c>
      <c r="O97" s="3">
        <f t="shared" si="109"/>
        <v>2.8980210000000008</v>
      </c>
      <c r="P97" s="3">
        <f t="shared" si="109"/>
        <v>1.5226459999999999</v>
      </c>
      <c r="Q97" s="135">
        <f t="shared" si="110"/>
        <v>1.6760699999999999</v>
      </c>
      <c r="R97" s="3">
        <f t="shared" si="111"/>
        <v>2.7844819999999997</v>
      </c>
      <c r="S97" s="3">
        <f t="shared" si="111"/>
        <v>2.2276600000000002</v>
      </c>
      <c r="T97" s="3">
        <f t="shared" si="111"/>
        <v>3.3553020000000018</v>
      </c>
      <c r="U97" s="135">
        <f t="shared" si="112"/>
        <v>3.3702179999999995</v>
      </c>
      <c r="V97" s="3">
        <f t="shared" si="113"/>
        <v>2.1580035711205694</v>
      </c>
      <c r="W97" s="3">
        <f t="shared" si="113"/>
        <v>3.5983134288794316</v>
      </c>
      <c r="X97" s="3">
        <f t="shared" si="113"/>
        <v>2.9577339999999985</v>
      </c>
      <c r="Y97" s="135">
        <f t="shared" si="114"/>
        <v>4.063939311839607</v>
      </c>
      <c r="Z97" s="3">
        <f t="shared" si="115"/>
        <v>1.9465096224615674</v>
      </c>
      <c r="AA97" s="3">
        <f t="shared" si="115"/>
        <v>3.2411007002626055</v>
      </c>
      <c r="AB97" s="3">
        <f t="shared" si="115"/>
        <v>5.3837121994174684</v>
      </c>
      <c r="AC97" s="135">
        <f t="shared" si="116"/>
        <v>4.8838061128973163</v>
      </c>
      <c r="AD97" s="3">
        <f t="shared" si="117"/>
        <v>3.7079198871026833</v>
      </c>
      <c r="AE97" s="3">
        <f t="shared" si="117"/>
        <v>5.3379479703335608</v>
      </c>
      <c r="AF97" s="3">
        <f t="shared" si="117"/>
        <v>5.9298383683079052</v>
      </c>
      <c r="AG97" s="135">
        <f t="shared" si="118"/>
        <v>6.120575334081396</v>
      </c>
      <c r="AH97" s="3">
        <f t="shared" si="119"/>
        <v>5.5308506659186047</v>
      </c>
      <c r="AI97" s="3">
        <f t="shared" si="119"/>
        <v>4.7257960137159039</v>
      </c>
      <c r="AJ97" s="3">
        <f t="shared" si="119"/>
        <v>5.8221749578887199</v>
      </c>
      <c r="AK97" s="135">
        <f t="shared" si="120"/>
        <v>5.4159445407279012</v>
      </c>
      <c r="AL97" s="3">
        <f t="shared" si="121"/>
        <v>5.5863659444739806</v>
      </c>
      <c r="AM97" s="3">
        <f t="shared" si="121"/>
        <v>7.6419459707197674</v>
      </c>
      <c r="AN97" s="3">
        <f t="shared" si="121"/>
        <v>6.8736472345709068</v>
      </c>
      <c r="AO97" s="135">
        <f t="shared" si="122"/>
        <v>4.4626450359636749</v>
      </c>
      <c r="AP97" s="3">
        <f t="shared" si="101"/>
        <v>4.5926657814616689</v>
      </c>
      <c r="AQ97" s="3">
        <f t="shared" si="101"/>
        <v>4.8516861404190728</v>
      </c>
      <c r="AR97" s="3">
        <f t="shared" si="101"/>
        <v>3.0698772269550645</v>
      </c>
      <c r="AS97" s="135">
        <f t="shared" si="123"/>
        <v>1.8646627757370098</v>
      </c>
      <c r="AT97" s="3">
        <f t="shared" si="101"/>
        <v>3.6516459240156456</v>
      </c>
      <c r="AU97" s="3">
        <f t="shared" si="101"/>
        <v>1.7611949389991484</v>
      </c>
      <c r="AV97" s="3">
        <f t="shared" si="101"/>
        <v>4.7129040351091325</v>
      </c>
    </row>
    <row r="98" spans="1:48" ht="15" customHeight="1" x14ac:dyDescent="0.2">
      <c r="B98" s="52" t="s">
        <v>183</v>
      </c>
      <c r="C98" s="3"/>
      <c r="D98" s="3"/>
      <c r="E98" s="135"/>
      <c r="F98" s="3"/>
      <c r="G98" s="3"/>
      <c r="H98" s="3"/>
      <c r="I98" s="135"/>
      <c r="J98" s="3"/>
      <c r="K98" s="3"/>
      <c r="L98" s="3"/>
      <c r="M98" s="135"/>
      <c r="N98" s="3"/>
      <c r="O98" s="3"/>
      <c r="P98" s="3"/>
      <c r="Q98" s="135"/>
      <c r="R98" s="3"/>
      <c r="S98" s="3"/>
      <c r="T98" s="3"/>
      <c r="U98" s="135"/>
      <c r="V98" s="3"/>
      <c r="W98" s="3"/>
      <c r="X98" s="3"/>
      <c r="Y98" s="135"/>
      <c r="Z98" s="3"/>
      <c r="AA98" s="3"/>
      <c r="AB98" s="3"/>
      <c r="AC98" s="135"/>
      <c r="AD98" s="3"/>
      <c r="AE98" s="3"/>
      <c r="AF98" s="3"/>
      <c r="AG98" s="135"/>
      <c r="AH98" s="3"/>
      <c r="AI98" s="3"/>
      <c r="AJ98" s="3"/>
      <c r="AK98" s="135"/>
      <c r="AL98" s="3"/>
      <c r="AM98" s="3">
        <f t="shared" si="121"/>
        <v>-0.29756081813690494</v>
      </c>
      <c r="AN98" s="3">
        <f t="shared" si="121"/>
        <v>0.30159102378863523</v>
      </c>
      <c r="AO98" s="135"/>
      <c r="AP98" s="3">
        <f t="shared" si="101"/>
        <v>0.63163947101409001</v>
      </c>
      <c r="AQ98" s="3">
        <f>+AQ70-AP70</f>
        <v>6.0316621579968093</v>
      </c>
      <c r="AR98" s="3">
        <f t="shared" si="101"/>
        <v>-4.9773034788609793</v>
      </c>
      <c r="AS98" s="135"/>
      <c r="AT98" s="3">
        <f t="shared" si="101"/>
        <v>1.9914832037873389</v>
      </c>
      <c r="AU98" s="3">
        <f t="shared" si="101"/>
        <v>-1.4231181822425789</v>
      </c>
      <c r="AV98" s="3">
        <f t="shared" si="101"/>
        <v>-2.291113255868384</v>
      </c>
    </row>
    <row r="99" spans="1:48" ht="15" customHeight="1" x14ac:dyDescent="0.2">
      <c r="B99" s="24" t="s">
        <v>75</v>
      </c>
      <c r="C99" s="3">
        <v>-1</v>
      </c>
      <c r="D99" s="3">
        <f>+D71-C71</f>
        <v>-2.5863999999999994</v>
      </c>
      <c r="E99" s="135">
        <f>+E71</f>
        <v>-1.21373953149654</v>
      </c>
      <c r="F99" s="3">
        <f t="shared" ref="F99:H101" si="124">+F71-E71</f>
        <v>4.3278273205561506</v>
      </c>
      <c r="G99" s="3">
        <f t="shared" si="124"/>
        <v>0.71363621094038976</v>
      </c>
      <c r="H99" s="3">
        <f t="shared" si="124"/>
        <v>0.7010029999999996</v>
      </c>
      <c r="I99" s="135">
        <f>+I71</f>
        <v>0</v>
      </c>
      <c r="J99" s="3">
        <f t="shared" ref="J99:L101" si="125">+J71-I71</f>
        <v>0.65948399999999996</v>
      </c>
      <c r="K99" s="3">
        <f t="shared" si="125"/>
        <v>0.66135800000000011</v>
      </c>
      <c r="L99" s="3">
        <f t="shared" si="125"/>
        <v>0.68043099999999979</v>
      </c>
      <c r="M99" s="135">
        <f>+M71</f>
        <v>0.63666900000000004</v>
      </c>
      <c r="N99" s="3">
        <f t="shared" ref="N99:P101" si="126">+N71-M71</f>
        <v>0.64202100000000006</v>
      </c>
      <c r="O99" s="3">
        <f t="shared" si="126"/>
        <v>1.8113550000000003</v>
      </c>
      <c r="P99" s="3">
        <f t="shared" si="126"/>
        <v>1.099567</v>
      </c>
      <c r="Q99" s="135">
        <f>+Q71</f>
        <v>0</v>
      </c>
      <c r="R99" s="3">
        <f t="shared" ref="R99:T101" si="127">+R71-Q71</f>
        <v>0</v>
      </c>
      <c r="S99" s="3">
        <f t="shared" si="127"/>
        <v>1.1147020000000001</v>
      </c>
      <c r="T99" s="3">
        <f t="shared" si="127"/>
        <v>1.2440000000000229E-3</v>
      </c>
      <c r="U99" s="135">
        <f>+U71</f>
        <v>0.56170299999999995</v>
      </c>
      <c r="V99" s="3">
        <f t="shared" ref="V99:X101" si="128">+V71-U71</f>
        <v>-1.1145251571120569</v>
      </c>
      <c r="W99" s="3">
        <f t="shared" si="128"/>
        <v>1.5967157112056984E-2</v>
      </c>
      <c r="X99" s="3">
        <f t="shared" si="128"/>
        <v>1.1452000000000018E-2</v>
      </c>
      <c r="Y99" s="135">
        <f>+Y71</f>
        <v>0</v>
      </c>
      <c r="Z99" s="3">
        <f t="shared" ref="Z99:AB101" si="129">+Z71-Y71</f>
        <v>0</v>
      </c>
      <c r="AA99" s="3">
        <f t="shared" si="129"/>
        <v>-0.92515496345637804</v>
      </c>
      <c r="AB99" s="3">
        <f t="shared" si="129"/>
        <v>-0.904252765791278</v>
      </c>
      <c r="AC99" s="135">
        <f>+AC71</f>
        <v>0</v>
      </c>
      <c r="AD99" s="3">
        <f t="shared" ref="AD99:AF101" si="130">+AD71-AC71</f>
        <v>-0.39053300000000002</v>
      </c>
      <c r="AE99" s="3">
        <f t="shared" si="130"/>
        <v>1.4055325126120011E-2</v>
      </c>
      <c r="AF99" s="3">
        <f t="shared" si="130"/>
        <v>-0.359059819149878</v>
      </c>
      <c r="AG99" s="135">
        <f>+AG71</f>
        <v>-0.68006392600904397</v>
      </c>
      <c r="AH99" s="3">
        <f t="shared" ref="AH99:AJ101" si="131">+AH71-AG71</f>
        <v>-1.3760700739909562</v>
      </c>
      <c r="AI99" s="3">
        <f t="shared" si="131"/>
        <v>-0.529761117540684</v>
      </c>
      <c r="AJ99" s="3">
        <f t="shared" si="131"/>
        <v>6.2305722322817427</v>
      </c>
      <c r="AK99" s="135">
        <f>+AK71</f>
        <v>0.27079722703639503</v>
      </c>
      <c r="AL99" s="3">
        <f>+AL71-AK71</f>
        <v>2.7548381563941224</v>
      </c>
      <c r="AM99" s="3">
        <f t="shared" si="121"/>
        <v>-3.1043864965204553</v>
      </c>
      <c r="AN99" s="3">
        <f t="shared" si="121"/>
        <v>-3.7264347834665221</v>
      </c>
      <c r="AO99" s="135">
        <f>+AO71</f>
        <v>-2.4413293432036576</v>
      </c>
      <c r="AP99" s="3">
        <f>+AP71-AO71</f>
        <v>-2.2197083464683884</v>
      </c>
      <c r="AQ99" s="3">
        <f t="shared" si="101"/>
        <v>-0.86938386617323982</v>
      </c>
      <c r="AR99" s="3">
        <f t="shared" si="101"/>
        <v>0.40671811285238846</v>
      </c>
      <c r="AS99" s="135">
        <f>+AS71</f>
        <v>1.3022804825747276</v>
      </c>
      <c r="AT99" s="3">
        <f>+AT71-AS71</f>
        <v>-1.4353836731365013</v>
      </c>
      <c r="AU99" s="3">
        <f t="shared" si="101"/>
        <v>0.21883573342804499</v>
      </c>
      <c r="AV99" s="73"/>
    </row>
    <row r="100" spans="1:48" ht="15" customHeight="1" x14ac:dyDescent="0.2">
      <c r="B100" s="24" t="s">
        <v>76</v>
      </c>
      <c r="C100" s="3">
        <v>7</v>
      </c>
      <c r="D100" s="3">
        <f>+D72-C72</f>
        <v>-4.2462000000000018</v>
      </c>
      <c r="E100" s="135">
        <f>+E72</f>
        <v>-4.8549581259861601</v>
      </c>
      <c r="F100" s="3">
        <f t="shared" si="124"/>
        <v>11.705951261917303</v>
      </c>
      <c r="G100" s="3">
        <f t="shared" si="124"/>
        <v>3.3562708640688577</v>
      </c>
      <c r="H100" s="3">
        <f t="shared" si="124"/>
        <v>5.319799999999999</v>
      </c>
      <c r="I100" s="135">
        <f>+I72</f>
        <v>1.33162</v>
      </c>
      <c r="J100" s="3">
        <f t="shared" si="125"/>
        <v>7.9011559999999994</v>
      </c>
      <c r="K100" s="3">
        <f t="shared" si="125"/>
        <v>3.9756440000000026</v>
      </c>
      <c r="L100" s="3">
        <f t="shared" si="125"/>
        <v>-0.5336910000000028</v>
      </c>
      <c r="M100" s="135">
        <f>+M72</f>
        <v>2.5466760000000002</v>
      </c>
      <c r="N100" s="3">
        <f t="shared" si="126"/>
        <v>3.2074289999999999</v>
      </c>
      <c r="O100" s="3">
        <f t="shared" si="126"/>
        <v>4.7520480000000012</v>
      </c>
      <c r="P100" s="3">
        <f t="shared" si="126"/>
        <v>6.2522950000000002</v>
      </c>
      <c r="Q100" s="135">
        <f>+Q72</f>
        <v>6.1455900000000003</v>
      </c>
      <c r="R100" s="3">
        <f t="shared" si="127"/>
        <v>6.1209279999999993</v>
      </c>
      <c r="S100" s="3">
        <f t="shared" si="127"/>
        <v>3.8966609999999999</v>
      </c>
      <c r="T100" s="3">
        <f t="shared" si="127"/>
        <v>72.554528000000019</v>
      </c>
      <c r="U100" s="135">
        <f>+U72</f>
        <v>34.825585999999994</v>
      </c>
      <c r="V100" s="3">
        <f t="shared" si="128"/>
        <v>7.741720097628388</v>
      </c>
      <c r="W100" s="3">
        <f t="shared" si="128"/>
        <v>5.2127889023716207</v>
      </c>
      <c r="X100" s="3">
        <f t="shared" si="128"/>
        <v>0.55698099999999329</v>
      </c>
      <c r="Y100" s="135">
        <f>+Y72</f>
        <v>7.6763298112525904</v>
      </c>
      <c r="Z100" s="3">
        <f t="shared" si="129"/>
        <v>4.8069102830652328</v>
      </c>
      <c r="AA100" s="3">
        <f t="shared" si="129"/>
        <v>6.4824366565379261</v>
      </c>
      <c r="AB100" s="3">
        <f t="shared" si="129"/>
        <v>-0.21424752606727537</v>
      </c>
      <c r="AC100" s="135">
        <f>+AC72</f>
        <v>9.3606283830531893</v>
      </c>
      <c r="AD100" s="3">
        <f t="shared" si="130"/>
        <v>4.6985596169468113</v>
      </c>
      <c r="AE100" s="3">
        <f t="shared" si="130"/>
        <v>17.188459014532043</v>
      </c>
      <c r="AF100" s="3">
        <f t="shared" si="130"/>
        <v>-2.5616847476054829</v>
      </c>
      <c r="AG100" s="135">
        <f>+AG72</f>
        <v>2.0401917780271321</v>
      </c>
      <c r="AH100" s="3">
        <f t="shared" si="131"/>
        <v>3.4428322219728682</v>
      </c>
      <c r="AI100" s="3">
        <f t="shared" si="131"/>
        <v>6.5552577564570473</v>
      </c>
      <c r="AJ100" s="3">
        <f t="shared" si="131"/>
        <v>20.763812276212477</v>
      </c>
      <c r="AK100" s="135">
        <f>+AK72</f>
        <v>4.3327556325823204</v>
      </c>
      <c r="AL100" s="3">
        <f>+AL72-AK72</f>
        <v>-2.6824090598020383</v>
      </c>
      <c r="AM100" s="3">
        <f t="shared" si="121"/>
        <v>2.6294842375491947</v>
      </c>
      <c r="AN100" s="3">
        <f t="shared" si="121"/>
        <v>8.7145442754161824</v>
      </c>
      <c r="AO100" s="135">
        <f>+AO72</f>
        <v>8.452774715178256</v>
      </c>
      <c r="AP100" s="3">
        <f>+AP72-AO72</f>
        <v>19.719276190352794</v>
      </c>
      <c r="AQ100" s="3">
        <f>+AQ72-AP72</f>
        <v>43.398353266568051</v>
      </c>
      <c r="AR100" s="3">
        <f t="shared" si="101"/>
        <v>-25.67860068976956</v>
      </c>
      <c r="AS100" s="135">
        <f>+AS72</f>
        <v>6.0622051501985936</v>
      </c>
      <c r="AT100" s="3">
        <f>+AT72-AS72</f>
        <v>2.6352342148920691</v>
      </c>
      <c r="AU100" s="3">
        <f t="shared" si="101"/>
        <v>-1.6888483607951761</v>
      </c>
      <c r="AV100" s="3">
        <f t="shared" si="101"/>
        <v>0.92324000148813745</v>
      </c>
    </row>
    <row r="101" spans="1:48" ht="15" customHeight="1" x14ac:dyDescent="0.2">
      <c r="A101" s="55" t="s">
        <v>164</v>
      </c>
      <c r="B101" s="43" t="s">
        <v>79</v>
      </c>
      <c r="C101" s="44">
        <v>45</v>
      </c>
      <c r="D101" s="44">
        <f>+D73-C73</f>
        <v>-108.67900000000003</v>
      </c>
      <c r="E101" s="44">
        <f>+E73</f>
        <v>3.64121859448962</v>
      </c>
      <c r="F101" s="44">
        <f t="shared" si="124"/>
        <v>3.832592099253445</v>
      </c>
      <c r="G101" s="44">
        <f t="shared" si="124"/>
        <v>28.889567306256939</v>
      </c>
      <c r="H101" s="44">
        <f t="shared" si="124"/>
        <v>8.2769309999999976</v>
      </c>
      <c r="I101" s="44">
        <f>+I73</f>
        <v>44.609269999999995</v>
      </c>
      <c r="J101" s="44">
        <f t="shared" si="125"/>
        <v>25.296034000000006</v>
      </c>
      <c r="K101" s="44">
        <f t="shared" si="125"/>
        <v>27.176583000000008</v>
      </c>
      <c r="L101" s="44">
        <f t="shared" si="125"/>
        <v>21.660310999999993</v>
      </c>
      <c r="M101" s="44">
        <f>+M73</f>
        <v>48.386844000000004</v>
      </c>
      <c r="N101" s="44">
        <f t="shared" si="126"/>
        <v>43.039491000000005</v>
      </c>
      <c r="O101" s="44">
        <f t="shared" si="126"/>
        <v>30.321438000000001</v>
      </c>
      <c r="P101" s="44">
        <f t="shared" si="126"/>
        <v>23.691614999999999</v>
      </c>
      <c r="Q101" s="44">
        <f>+Q73</f>
        <v>51.399479999999997</v>
      </c>
      <c r="R101" s="44">
        <f t="shared" si="127"/>
        <v>32.235870000000006</v>
      </c>
      <c r="S101" s="44">
        <f t="shared" si="127"/>
        <v>26.720147999999995</v>
      </c>
      <c r="T101" s="44">
        <f t="shared" si="127"/>
        <v>57.036402000000024</v>
      </c>
      <c r="U101" s="44">
        <f>+U73</f>
        <v>82.570340999999985</v>
      </c>
      <c r="V101" s="44">
        <f t="shared" si="128"/>
        <v>-79.253408057327647</v>
      </c>
      <c r="W101" s="44">
        <f t="shared" si="128"/>
        <v>-9.5802942672341462E-2</v>
      </c>
      <c r="X101" s="44">
        <f t="shared" si="128"/>
        <v>-36.846921999999999</v>
      </c>
      <c r="Y101" s="44">
        <f>+Y73</f>
        <v>64.119931364580466</v>
      </c>
      <c r="Z101" s="44">
        <f t="shared" si="129"/>
        <v>20.951038167066926</v>
      </c>
      <c r="AA101" s="44">
        <f t="shared" si="129"/>
        <v>31.961133345584429</v>
      </c>
      <c r="AB101" s="44">
        <f t="shared" si="129"/>
        <v>-90.505690803140808</v>
      </c>
      <c r="AC101" s="44">
        <f>+AC73</f>
        <v>34.593626633022659</v>
      </c>
      <c r="AD101" s="44">
        <f t="shared" si="130"/>
        <v>10.317668366977344</v>
      </c>
      <c r="AE101" s="44">
        <f t="shared" si="130"/>
        <v>14.572177630073043</v>
      </c>
      <c r="AF101" s="44">
        <f t="shared" si="130"/>
        <v>11.495895543219596</v>
      </c>
      <c r="AG101" s="44">
        <f>+AG73</f>
        <v>51.004794450678304</v>
      </c>
      <c r="AH101" s="44">
        <f t="shared" si="131"/>
        <v>25.757541549321701</v>
      </c>
      <c r="AI101" s="44">
        <f t="shared" si="131"/>
        <v>-3.6489578567676375</v>
      </c>
      <c r="AJ101" s="44">
        <f t="shared" si="131"/>
        <v>36.226935298999365</v>
      </c>
      <c r="AK101" s="44">
        <f>+AK73</f>
        <v>43.598353552859599</v>
      </c>
      <c r="AL101" s="44">
        <f>+AL73-AK73</f>
        <v>62.298884867208507</v>
      </c>
      <c r="AM101" s="44">
        <f t="shared" si="121"/>
        <v>37.720303877349608</v>
      </c>
      <c r="AN101" s="44">
        <f t="shared" si="121"/>
        <v>67.859477869958027</v>
      </c>
      <c r="AO101" s="44">
        <f>+AO73</f>
        <v>63.290806951226003</v>
      </c>
      <c r="AP101" s="44">
        <f>+AP73-AO73</f>
        <v>64.068958100168871</v>
      </c>
      <c r="AQ101" s="44">
        <v>446.79700000000003</v>
      </c>
      <c r="AR101" s="44">
        <f t="shared" si="101"/>
        <v>79.834053605666128</v>
      </c>
      <c r="AS101" s="44">
        <f>+AS73</f>
        <v>145.61244848869097</v>
      </c>
      <c r="AT101" s="44">
        <f>+AT73-AS73</f>
        <v>64.249465848373262</v>
      </c>
      <c r="AU101" s="44">
        <f t="shared" si="101"/>
        <v>45.090160638972691</v>
      </c>
      <c r="AV101" s="44">
        <f t="shared" si="101"/>
        <v>-5.470660107930911</v>
      </c>
    </row>
    <row r="102" spans="1:48" x14ac:dyDescent="0.2">
      <c r="AV102" s="69"/>
    </row>
    <row r="104" spans="1:48" ht="20.100000000000001" customHeight="1" x14ac:dyDescent="0.2">
      <c r="B104" s="32" t="s">
        <v>160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</row>
    <row r="105" spans="1:48" x14ac:dyDescent="0.2">
      <c r="B105" s="34" t="s">
        <v>244</v>
      </c>
      <c r="C105" s="35" t="s">
        <v>99</v>
      </c>
      <c r="D105" s="35">
        <v>2008</v>
      </c>
      <c r="E105" s="35" t="s">
        <v>100</v>
      </c>
      <c r="F105" s="35" t="s">
        <v>101</v>
      </c>
      <c r="G105" s="35" t="s">
        <v>102</v>
      </c>
      <c r="H105" s="35">
        <v>2009</v>
      </c>
      <c r="I105" s="35" t="s">
        <v>103</v>
      </c>
      <c r="J105" s="35" t="s">
        <v>104</v>
      </c>
      <c r="K105" s="35" t="s">
        <v>105</v>
      </c>
      <c r="L105" s="35">
        <v>2010</v>
      </c>
      <c r="M105" s="35" t="s">
        <v>106</v>
      </c>
      <c r="N105" s="35" t="s">
        <v>107</v>
      </c>
      <c r="O105" s="35" t="s">
        <v>108</v>
      </c>
      <c r="P105" s="35">
        <v>2011</v>
      </c>
      <c r="Q105" s="35" t="s">
        <v>96</v>
      </c>
      <c r="R105" s="35" t="s">
        <v>97</v>
      </c>
      <c r="S105" s="35" t="s">
        <v>98</v>
      </c>
      <c r="T105" s="35">
        <v>2012</v>
      </c>
      <c r="U105" s="35" t="s">
        <v>93</v>
      </c>
      <c r="V105" s="35" t="s">
        <v>94</v>
      </c>
      <c r="W105" s="35" t="s">
        <v>95</v>
      </c>
      <c r="X105" s="35">
        <v>2013</v>
      </c>
      <c r="Y105" s="35" t="s">
        <v>90</v>
      </c>
      <c r="Z105" s="35" t="s">
        <v>91</v>
      </c>
      <c r="AA105" s="35" t="s">
        <v>92</v>
      </c>
      <c r="AB105" s="35">
        <v>2014</v>
      </c>
      <c r="AC105" s="35" t="s">
        <v>87</v>
      </c>
      <c r="AD105" s="35" t="s">
        <v>88</v>
      </c>
      <c r="AE105" s="35" t="s">
        <v>89</v>
      </c>
      <c r="AF105" s="35">
        <v>2015</v>
      </c>
      <c r="AG105" s="35" t="s">
        <v>84</v>
      </c>
      <c r="AH105" s="35" t="s">
        <v>85</v>
      </c>
      <c r="AI105" s="35" t="s">
        <v>86</v>
      </c>
      <c r="AJ105" s="35">
        <v>2016</v>
      </c>
      <c r="AK105" s="35" t="s">
        <v>83</v>
      </c>
      <c r="AL105" s="35" t="s">
        <v>82</v>
      </c>
      <c r="AM105" s="35" t="s">
        <v>81</v>
      </c>
      <c r="AN105" s="35">
        <v>2017</v>
      </c>
      <c r="AO105" s="35" t="s">
        <v>171</v>
      </c>
      <c r="AP105" s="35" t="s">
        <v>174</v>
      </c>
      <c r="AQ105" s="35" t="s">
        <v>176</v>
      </c>
      <c r="AR105" s="35">
        <v>2018</v>
      </c>
      <c r="AS105" s="35" t="s">
        <v>187</v>
      </c>
      <c r="AT105" s="35" t="s">
        <v>189</v>
      </c>
      <c r="AU105" s="35" t="s">
        <v>192</v>
      </c>
      <c r="AV105" s="35">
        <v>2019</v>
      </c>
    </row>
    <row r="106" spans="1:48" ht="15" customHeight="1" x14ac:dyDescent="0.2">
      <c r="B106" s="24" t="s">
        <v>58</v>
      </c>
      <c r="C106" s="3">
        <f>'Finansallar - 2008-2019'!C163/C$13</f>
        <v>50.426716200000001</v>
      </c>
      <c r="D106" s="3">
        <f>'Finansallar - 2008-2019'!D163/D$13</f>
        <v>68.225070999999986</v>
      </c>
      <c r="E106" s="3">
        <f>'Finansallar - 2008-2019'!E163/E$13</f>
        <v>4.3354776065056413</v>
      </c>
      <c r="F106" s="3">
        <f>'Finansallar - 2008-2019'!F163/F$13</f>
        <v>5.2976861467482097</v>
      </c>
      <c r="G106" s="3">
        <f>'Finansallar - 2008-2019'!G163/G$13</f>
        <v>8.2308825080000005</v>
      </c>
      <c r="H106" s="3">
        <f>'Finansallar - 2008-2019'!H163/H$13</f>
        <v>17.132174241000001</v>
      </c>
      <c r="I106" s="3">
        <f>'Finansallar - 2008-2019'!I163/I$13</f>
        <v>2.8270292600000002</v>
      </c>
      <c r="J106" s="3">
        <f>'Finansallar - 2008-2019'!J163/J$13</f>
        <v>11.587793364000001</v>
      </c>
      <c r="K106" s="3">
        <f>'Finansallar - 2008-2019'!K163/K$13</f>
        <v>13.076996221</v>
      </c>
      <c r="L106" s="3">
        <f>'Finansallar - 2008-2019'!L163/L$13</f>
        <v>20.035411094000001</v>
      </c>
      <c r="M106" s="3">
        <f>'Finansallar - 2008-2019'!M163/M$13</f>
        <v>6.6977578800000002</v>
      </c>
      <c r="N106" s="3">
        <f>'Finansallar - 2008-2019'!N163/N$13</f>
        <v>13.126392194999999</v>
      </c>
      <c r="O106" s="3">
        <f>'Finansallar - 2008-2019'!O163/O$13</f>
        <v>28.404311649</v>
      </c>
      <c r="P106" s="3">
        <f>'Finansallar - 2008-2019'!P163/P$13</f>
        <v>46.955974263999998</v>
      </c>
      <c r="Q106" s="3">
        <f>'Finansallar - 2008-2019'!Q163/Q$13</f>
        <v>22.51073748</v>
      </c>
      <c r="R106" s="3">
        <f>'Finansallar - 2008-2019'!R163/R$13</f>
        <v>56.381377280000002</v>
      </c>
      <c r="S106" s="3">
        <f>'Finansallar - 2008-2019'!S163/S$13</f>
        <v>67.876991535000002</v>
      </c>
      <c r="T106" s="3">
        <f>'Finansallar - 2008-2019'!T163/T$13</f>
        <v>79.593732504000002</v>
      </c>
      <c r="U106" s="3">
        <f>'Finansallar - 2008-2019'!U163/U$13</f>
        <v>3.3157328089999996</v>
      </c>
      <c r="V106" s="3">
        <f>'Finansallar - 2008-2019'!V163/V$13</f>
        <v>7.3912322405882005</v>
      </c>
      <c r="W106" s="3">
        <f>'Finansallar - 2008-2019'!W163/W$13</f>
        <v>10.168570554999999</v>
      </c>
      <c r="X106" s="3">
        <f>'Finansallar - 2008-2019'!X163/X$13</f>
        <v>12.997419413999999</v>
      </c>
      <c r="Y106" s="3">
        <f>'Finansallar - 2008-2019'!Y163/Y$13</f>
        <v>6.3049760679129365</v>
      </c>
      <c r="Z106" s="3">
        <f>'Finansallar - 2008-2019'!Z163/Z$13</f>
        <v>8.0586249942207289</v>
      </c>
      <c r="AA106" s="3">
        <f>'Finansallar - 2008-2019'!AA163/AA$13</f>
        <v>9.0378388380053565</v>
      </c>
      <c r="AB106" s="3">
        <f>'Finansallar - 2008-2019'!AB163/AB$13</f>
        <v>12.370912417104961</v>
      </c>
      <c r="AC106" s="3">
        <f>'Finansallar - 2008-2019'!AC163/AC$13</f>
        <v>2.107362337715192</v>
      </c>
      <c r="AD106" s="3">
        <f>'Finansallar - 2008-2019'!AD163/AD$13</f>
        <v>3.7670813180000002</v>
      </c>
      <c r="AE106" s="3">
        <f>'Finansallar - 2008-2019'!AE163/AE$13</f>
        <v>5.8884873127023578</v>
      </c>
      <c r="AF106" s="3">
        <f>'Finansallar - 2008-2019'!AF163/AF$13</f>
        <v>6.3583538670883764</v>
      </c>
      <c r="AG106" s="3">
        <f>'Finansallar - 2008-2019'!AG163/AG$13</f>
        <v>0.92896732292835416</v>
      </c>
      <c r="AH106" s="3">
        <f>'Finansallar - 2008-2019'!AH163/AH$13</f>
        <v>2.5256179300000001</v>
      </c>
      <c r="AI106" s="3">
        <f>'Finansallar - 2008-2019'!AI163/AI$13</f>
        <v>4.398307687058578</v>
      </c>
      <c r="AJ106" s="3">
        <f>'Finansallar - 2008-2019'!AJ163/AJ$13</f>
        <v>15.151916768828052</v>
      </c>
      <c r="AK106" s="3">
        <f>'Finansallar - 2008-2019'!AK163/AK$13</f>
        <v>5.8308058925476578</v>
      </c>
      <c r="AL106" s="3">
        <f>'Finansallar - 2008-2019'!AL163/AL$13</f>
        <v>13.477005171085914</v>
      </c>
      <c r="AM106" s="3">
        <f>'Finansallar - 2008-2019'!AM163/AM$13</f>
        <v>18.537678094390039</v>
      </c>
      <c r="AN106" s="3">
        <f>'Finansallar - 2008-2019'!AN163/AN$13</f>
        <v>46.079023185622226</v>
      </c>
      <c r="AO106" s="3">
        <f>'Finansallar - 2008-2019'!AO163/AO$13</f>
        <v>9.2240247808053883</v>
      </c>
      <c r="AP106" s="3">
        <f>'Finansallar - 2008-2019'!AP163/AP$13</f>
        <v>15.031815956926073</v>
      </c>
      <c r="AQ106" s="3">
        <f>'Finansallar - 2008-2019'!AQ163/AQ$13</f>
        <v>28.737940026075623</v>
      </c>
      <c r="AR106" s="3">
        <f>'Finansallar - 2008-2019'!AR163/AR$13</f>
        <v>38.621146560112614</v>
      </c>
      <c r="AS106" s="3">
        <f>'Finansallar - 2008-2019'!AS163/AS$13</f>
        <v>6.0622051501985936</v>
      </c>
      <c r="AT106" s="3">
        <f>'Finansallar - 2008-2019'!AT163/AT$13</f>
        <v>9.2323433635247429</v>
      </c>
      <c r="AU106" s="3">
        <f>'Finansallar - 2008-2019'!AU163/AU$13</f>
        <v>11.360893180446565</v>
      </c>
      <c r="AV106" s="3">
        <f>'Finansallar - 2008-2019'!AV163/AV$13</f>
        <v>18.994216391592648</v>
      </c>
    </row>
    <row r="107" spans="1:48" ht="15" customHeight="1" x14ac:dyDescent="0.2">
      <c r="B107" s="24" t="s">
        <v>74</v>
      </c>
      <c r="C107" s="3">
        <f>'Finansallar - 2008-2019'!C164/C$13</f>
        <v>6.6157332000000011</v>
      </c>
      <c r="D107" s="3">
        <f>'Finansallar - 2008-2019'!D164/D$13</f>
        <v>13.307491399999998</v>
      </c>
      <c r="E107" s="3">
        <f>'Finansallar - 2008-2019'!E164/E$13</f>
        <v>0.3022211433426385</v>
      </c>
      <c r="F107" s="3">
        <f>'Finansallar - 2008-2019'!F164/F$13</f>
        <v>1.8622244978576472</v>
      </c>
      <c r="G107" s="3">
        <f>'Finansallar - 2008-2019'!G164/G$13</f>
        <v>9.4040799140000004</v>
      </c>
      <c r="H107" s="3">
        <f>'Finansallar - 2008-2019'!H164/H$13</f>
        <v>9.8803883920000004</v>
      </c>
      <c r="I107" s="3">
        <f>'Finansallar - 2008-2019'!I164/I$13</f>
        <v>2.6172991099999998</v>
      </c>
      <c r="J107" s="3">
        <f>'Finansallar - 2008-2019'!J164/J$13</f>
        <v>3.4570151279999997</v>
      </c>
      <c r="K107" s="3">
        <f>'Finansallar - 2008-2019'!K164/K$13</f>
        <v>4.7411623590000005</v>
      </c>
      <c r="L107" s="3">
        <f>'Finansallar - 2008-2019'!L164/L$13</f>
        <v>6.8029940180000006</v>
      </c>
      <c r="M107" s="3">
        <f>'Finansallar - 2008-2019'!M164/M$13</f>
        <v>0.33870790800000006</v>
      </c>
      <c r="N107" s="3">
        <f>'Finansallar - 2008-2019'!N164/N$13</f>
        <v>1.9071661350000002</v>
      </c>
      <c r="O107" s="3">
        <f>'Finansallar - 2008-2019'!O164/O$13</f>
        <v>3.4732105800000004</v>
      </c>
      <c r="P107" s="3">
        <f>'Finansallar - 2008-2019'!P164/P$13</f>
        <v>6.8027328560000004</v>
      </c>
      <c r="Q107" s="3">
        <f>'Finansallar - 2008-2019'!Q164/Q$13</f>
        <v>3.9175342799999999</v>
      </c>
      <c r="R107" s="3">
        <f>'Finansallar - 2008-2019'!R164/R$13</f>
        <v>6.0284360279999998</v>
      </c>
      <c r="S107" s="3">
        <f>'Finansallar - 2008-2019'!S164/S$13</f>
        <v>12.820187702</v>
      </c>
      <c r="T107" s="3">
        <f>'Finansallar - 2008-2019'!T164/T$13</f>
        <v>27.864055674000006</v>
      </c>
      <c r="U107" s="3">
        <f>'Finansallar - 2008-2019'!U164/U$13</f>
        <v>3.7476824159999995</v>
      </c>
      <c r="V107" s="3">
        <f>'Finansallar - 2008-2019'!V164/V$13</f>
        <v>21.993476698546072</v>
      </c>
      <c r="W107" s="3">
        <f>'Finansallar - 2008-2019'!W164/W$13</f>
        <v>41.688401315</v>
      </c>
      <c r="X107" s="3">
        <f>'Finansallar - 2008-2019'!X164/X$13</f>
        <v>83.218055766999996</v>
      </c>
      <c r="Y107" s="3">
        <f>'Finansallar - 2008-2019'!Y164/Y$13</f>
        <v>35.668292242391374</v>
      </c>
      <c r="Z107" s="3">
        <f>'Finansallar - 2008-2019'!Z164/Z$13</f>
        <v>96.005825512044098</v>
      </c>
      <c r="AA107" s="3">
        <f>'Finansallar - 2008-2019'!AA164/AA$13</f>
        <v>138.0590248866684</v>
      </c>
      <c r="AB107" s="3">
        <f>'Finansallar - 2008-2019'!AB164/AB$13</f>
        <v>169.76995197804709</v>
      </c>
      <c r="AC107" s="3">
        <f>'Finansallar - 2008-2019'!AC164/AC$13</f>
        <v>30.771641365837763</v>
      </c>
      <c r="AD107" s="3">
        <f>'Finansallar - 2008-2019'!AD164/AD$13</f>
        <v>56.495675379000005</v>
      </c>
      <c r="AE107" s="3">
        <f>'Finansallar - 2008-2019'!AE164/AE$13</f>
        <v>95.675777426398625</v>
      </c>
      <c r="AF107" s="3">
        <f>'Finansallar - 2008-2019'!AF164/AF$13</f>
        <v>101.13934757824281</v>
      </c>
      <c r="AG107" s="3">
        <f>'Finansallar - 2008-2019'!AG164/AG$13</f>
        <v>11.442075555102164</v>
      </c>
      <c r="AH107" s="3">
        <f>'Finansallar - 2008-2019'!AH164/AH$13</f>
        <v>24.984769612000001</v>
      </c>
      <c r="AI107" s="3">
        <f>'Finansallar - 2008-2019'!AI164/AI$13</f>
        <v>29.563274079634208</v>
      </c>
      <c r="AJ107" s="3">
        <f>'Finansallar - 2008-2019'!AJ164/AJ$13</f>
        <v>39.754812630462823</v>
      </c>
      <c r="AK107" s="3">
        <f>'Finansallar - 2008-2019'!AK164/AK$13</f>
        <v>1.3344887348353547</v>
      </c>
      <c r="AL107" s="3">
        <f>'Finansallar - 2008-2019'!AL164/AL$13</f>
        <v>9.4779403674771601</v>
      </c>
      <c r="AM107" s="3">
        <f>'Finansallar - 2008-2019'!AM164/AM$13</f>
        <v>11.772873998219064</v>
      </c>
      <c r="AN107" s="3">
        <f>'Finansallar - 2008-2019'!AN164/AN$13</f>
        <v>16.761421319796977</v>
      </c>
      <c r="AO107" s="3">
        <f>'Finansallar - 2008-2019'!AO164/AO$13</f>
        <v>0.35228644930960307</v>
      </c>
      <c r="AP107" s="3">
        <f>'Finansallar - 2008-2019'!AP164/AP$13</f>
        <v>3.7055800293685714</v>
      </c>
      <c r="AQ107" s="3">
        <f>'Finansallar - 2008-2019'!AQ164/AQ$13</f>
        <v>9.4726205997392459</v>
      </c>
      <c r="AR107" s="3">
        <f>'Finansallar - 2008-2019'!AR164/AR$13</f>
        <v>14.811701621084445</v>
      </c>
      <c r="AS107" s="3">
        <f>'Finansallar - 2008-2019'!AS164/AS$13</f>
        <v>4.5924779503626816</v>
      </c>
      <c r="AT107" s="3">
        <f>'Finansallar - 2008-2019'!AT164/AT$13</f>
        <v>9.6622595512215934</v>
      </c>
      <c r="AU107" s="3">
        <f>'Finansallar - 2008-2019'!AU164/AU$13</f>
        <v>15.650360325180129</v>
      </c>
      <c r="AV107" s="3">
        <f>'Finansallar - 2008-2019'!AV164/AV$13</f>
        <v>29.441211736493223</v>
      </c>
    </row>
    <row r="108" spans="1:48" ht="15" customHeight="1" x14ac:dyDescent="0.2">
      <c r="B108" s="24" t="s">
        <v>75</v>
      </c>
      <c r="C108" s="3">
        <f>'Finansallar - 2008-2019'!C165/C$13</f>
        <v>7.2390852000000008</v>
      </c>
      <c r="D108" s="3">
        <f>'Finansallar - 2008-2019'!D165/D$13</f>
        <v>12.155444399999999</v>
      </c>
      <c r="E108" s="3">
        <f>'Finansallar - 2008-2019'!E165/E$13</f>
        <v>6.1900716106323542E-2</v>
      </c>
      <c r="F108" s="3">
        <f>'Finansallar - 2008-2019'!F165/F$13</f>
        <v>0.13016886958269172</v>
      </c>
      <c r="G108" s="3">
        <f>'Finansallar - 2008-2019'!G165/G$13</f>
        <v>0.41211828400000006</v>
      </c>
      <c r="H108" s="3">
        <f>'Finansallar - 2008-2019'!H165/H$13</f>
        <v>0.44575612899999995</v>
      </c>
      <c r="I108" s="3">
        <f>'Finansallar - 2008-2019'!I165/I$13</f>
        <v>1.398201E-2</v>
      </c>
      <c r="J108" s="3">
        <f>'Finansallar - 2008-2019'!J165/J$13</f>
        <v>0.109474344</v>
      </c>
      <c r="K108" s="3">
        <f>'Finansallar - 2008-2019'!K165/K$13</f>
        <v>0.12151746400000001</v>
      </c>
      <c r="L108" s="3">
        <f>'Finansallar - 2008-2019'!L165/L$13</f>
        <v>0.142757474</v>
      </c>
      <c r="M108" s="3">
        <f>'Finansallar - 2008-2019'!M165/M$13</f>
        <v>6.3666900000000004E-3</v>
      </c>
      <c r="N108" s="3">
        <f>'Finansallar - 2008-2019'!N165/N$13</f>
        <v>3.7082010000000006E-2</v>
      </c>
      <c r="O108" s="3">
        <f>'Finansallar - 2008-2019'!O165/O$13</f>
        <v>0.12236578200000002</v>
      </c>
      <c r="P108" s="3">
        <f>'Finansallar - 2008-2019'!P165/P$13</f>
        <v>0.153220096</v>
      </c>
      <c r="Q108" s="3">
        <f>'Finansallar - 2008-2019'!Q165/Q$13</f>
        <v>3.408009E-2</v>
      </c>
      <c r="R108" s="3">
        <f>'Finansallar - 2008-2019'!R165/R$13</f>
        <v>0.143852802</v>
      </c>
      <c r="S108" s="3">
        <f>'Finansallar - 2008-2019'!S165/S$13</f>
        <v>0.14379655800000002</v>
      </c>
      <c r="T108" s="3">
        <f>'Finansallar - 2008-2019'!T165/T$13</f>
        <v>0.18189919800000004</v>
      </c>
      <c r="U108" s="3">
        <f>'Finansallar - 2008-2019'!U165/U$13</f>
        <v>2.4153228999999995E-2</v>
      </c>
      <c r="V108" s="3">
        <f>'Finansallar - 2008-2019'!V165/V$13</f>
        <v>0.14815633810603127</v>
      </c>
      <c r="W108" s="3">
        <f>'Finansallar - 2008-2019'!W165/W$13</f>
        <v>0.17018303500000001</v>
      </c>
      <c r="X108" s="3">
        <f>'Finansallar - 2008-2019'!X165/X$13</f>
        <v>0.18704346799999999</v>
      </c>
      <c r="Y108" s="3">
        <f>'Finansallar - 2008-2019'!Y165/Y$13</f>
        <v>4.199403955567594E-2</v>
      </c>
      <c r="Z108" s="3">
        <f>'Finansallar - 2008-2019'!Z165/Z$13</f>
        <v>0.15765869896897697</v>
      </c>
      <c r="AA108" s="3">
        <f>'Finansallar - 2008-2019'!AA165/AA$13</f>
        <v>0.45702655194745073</v>
      </c>
      <c r="AB108" s="3">
        <f>'Finansallar - 2008-2019'!AB165/AB$13</f>
        <v>1.1863709124171049</v>
      </c>
      <c r="AC108" s="3">
        <f>'Finansallar - 2008-2019'!AC165/AC$13</f>
        <v>0.18029384233445925</v>
      </c>
      <c r="AD108" s="3">
        <f>'Finansallar - 2008-2019'!AD165/AD$13</f>
        <v>0.27298256700000001</v>
      </c>
      <c r="AE108" s="3">
        <f>'Finansallar - 2008-2019'!AE165/AE$13</f>
        <v>0.57488140953241473</v>
      </c>
      <c r="AF108" s="3">
        <f>'Finansallar - 2008-2019'!AF165/AF$13</f>
        <v>0.70869037549189084</v>
      </c>
      <c r="AG108" s="3">
        <f>'Finansallar - 2008-2019'!AG165/AG$13</f>
        <v>4.7264442857628562E-2</v>
      </c>
      <c r="AH108" s="3">
        <f>'Finansallar - 2008-2019'!AH165/AH$13</f>
        <v>12.835416494999999</v>
      </c>
      <c r="AI108" s="3">
        <f>'Finansallar - 2008-2019'!AI165/AI$13</f>
        <v>13.163192193524157</v>
      </c>
      <c r="AJ108" s="3">
        <f>'Finansallar - 2008-2019'!AJ165/AJ$13</f>
        <v>0.85384844769888235</v>
      </c>
      <c r="AK108" s="3">
        <f>'Finansallar - 2008-2019'!AK165/AK$13</f>
        <v>8.6113518197573624E-2</v>
      </c>
      <c r="AL108" s="3">
        <f>'Finansallar - 2008-2019'!AL165/AL$13</f>
        <v>9.5720101221256362E-2</v>
      </c>
      <c r="AM108" s="3">
        <f>'Finansallar - 2008-2019'!AM165/AM$13</f>
        <v>0.13857969723953703</v>
      </c>
      <c r="AN108" s="3">
        <f>'Finansallar - 2008-2019'!AN165/AN$13</f>
        <v>0.17615585128275507</v>
      </c>
      <c r="AO108" s="3">
        <f>'Finansallar - 2008-2019'!AO165/AO$13</f>
        <v>7.4289914422218814E-2</v>
      </c>
      <c r="AP108" s="3">
        <f>'Finansallar - 2008-2019'!AP165/AP$13</f>
        <v>0.10866372980910413</v>
      </c>
      <c r="AQ108" s="3">
        <f>'Finansallar - 2008-2019'!AQ165/AQ$13</f>
        <v>0.11734028683181227</v>
      </c>
      <c r="AR108" s="3">
        <f>'Finansallar - 2008-2019'!AR165/AR$13</f>
        <v>0.11407631311981116</v>
      </c>
      <c r="AS108" s="3">
        <f>'Finansallar - 2008-2019'!AS165/AS$13</f>
        <v>8.3909824908165436E-3</v>
      </c>
      <c r="AT108" s="3">
        <f>'Finansallar - 2008-2019'!AT165/AT$13</f>
        <v>8.5413812125202399E-3</v>
      </c>
      <c r="AU108" s="3">
        <f>'Finansallar - 2008-2019'!AU165/AU$13</f>
        <v>9.4075047037523313E-3</v>
      </c>
      <c r="AV108" s="73"/>
    </row>
    <row r="109" spans="1:48" ht="15" customHeight="1" x14ac:dyDescent="0.2">
      <c r="B109" s="24" t="s">
        <v>76</v>
      </c>
      <c r="C109" s="3">
        <f>'Finansallar - 2008-2019'!C166/C$13</f>
        <v>4.4553264000000006</v>
      </c>
      <c r="D109" s="3">
        <f>'Finansallar - 2008-2019'!D166/D$13</f>
        <v>9.1007859999999994</v>
      </c>
      <c r="E109" s="3">
        <f>'Finansallar - 2008-2019'!E166/E$13</f>
        <v>5.0370190557106419E-2</v>
      </c>
      <c r="F109" s="3">
        <f>'Finansallar - 2008-2019'!F166/F$13</f>
        <v>0.3531375552793598</v>
      </c>
      <c r="G109" s="3">
        <f>'Finansallar - 2008-2019'!G166/G$13</f>
        <v>0.52439818800000004</v>
      </c>
      <c r="H109" s="3">
        <f>'Finansallar - 2008-2019'!H166/H$13</f>
        <v>0.57320744599999995</v>
      </c>
      <c r="I109" s="3">
        <f>'Finansallar - 2008-2019'!I166/I$13</f>
        <v>8.6681803899999998</v>
      </c>
      <c r="J109" s="3">
        <f>'Finansallar - 2008-2019'!J166/J$13</f>
        <v>8.6464947240000001</v>
      </c>
      <c r="K109" s="3">
        <f>'Finansallar - 2008-2019'!K166/K$13</f>
        <v>8.7452948820000014</v>
      </c>
      <c r="L109" s="3">
        <f>'Finansallar - 2008-2019'!L166/L$13</f>
        <v>8.998390499000001</v>
      </c>
      <c r="M109" s="3">
        <f>'Finansallar - 2008-2019'!M166/M$13</f>
        <v>0.14388719400000002</v>
      </c>
      <c r="N109" s="3">
        <f>'Finansallar - 2008-2019'!N166/N$13</f>
        <v>0.65596797000000007</v>
      </c>
      <c r="O109" s="3">
        <f>'Finansallar - 2008-2019'!O166/O$13</f>
        <v>2.7062614109999998</v>
      </c>
      <c r="P109" s="3">
        <f>'Finansallar - 2008-2019'!P166/P$13</f>
        <v>3.8550415560000002</v>
      </c>
      <c r="Q109" s="3">
        <f>'Finansallar - 2008-2019'!Q166/Q$13</f>
        <v>5.5310310000000001E-2</v>
      </c>
      <c r="R109" s="3">
        <f>'Finansallar - 2008-2019'!R166/R$13</f>
        <v>0.169500976</v>
      </c>
      <c r="S109" s="3">
        <f>'Finansallar - 2008-2019'!S166/S$13</f>
        <v>0.173893512</v>
      </c>
      <c r="T109" s="3">
        <f>'Finansallar - 2008-2019'!T166/T$13</f>
        <v>0.23546460600000002</v>
      </c>
      <c r="U109" s="3">
        <f>'Finansallar - 2008-2019'!U166/U$13</f>
        <v>2.808515E-2</v>
      </c>
      <c r="V109" s="3">
        <f>'Finansallar - 2008-2019'!V166/V$13</f>
        <v>0.31621427386809653</v>
      </c>
      <c r="W109" s="3">
        <f>'Finansallar - 2008-2019'!W166/W$13</f>
        <v>0.32211299999999998</v>
      </c>
      <c r="X109" s="3">
        <f>'Finansallar - 2008-2019'!X166/X$13</f>
        <v>0.33783412899999998</v>
      </c>
      <c r="Y109" s="3">
        <f>'Finansallar - 2008-2019'!Y166/Y$13</f>
        <v>0.11830578885577522</v>
      </c>
      <c r="Z109" s="3">
        <f>'Finansallar - 2008-2019'!Z166/Z$13</f>
        <v>0.18031346802903525</v>
      </c>
      <c r="AA109" s="3">
        <f>'Finansallar - 2008-2019'!AA166/AA$13</f>
        <v>0.18503099269127563</v>
      </c>
      <c r="AB109" s="3">
        <f>'Finansallar - 2008-2019'!AB166/AB$13</f>
        <v>0.281728790304139</v>
      </c>
      <c r="AC109" s="3">
        <f>'Finansallar - 2008-2019'!AC166/AC$13</f>
        <v>4.6803141915265946E-2</v>
      </c>
      <c r="AD109" s="3">
        <f>'Finansallar - 2008-2019'!AD166/AD$13</f>
        <v>0.33312464899999999</v>
      </c>
      <c r="AE109" s="3">
        <f>'Finansallar - 2008-2019'!AE166/AE$13</f>
        <v>0.57262254348317143</v>
      </c>
      <c r="AF109" s="3">
        <f>'Finansallar - 2008-2019'!AF166/AF$13</f>
        <v>0.68368210069508306</v>
      </c>
      <c r="AG109" s="3">
        <f>'Finansallar - 2008-2019'!AG166/AG$13</f>
        <v>1.9041789928253231E-2</v>
      </c>
      <c r="AH109" s="3">
        <f>'Finansallar - 2008-2019'!AH166/AH$13</f>
        <v>0.206641467</v>
      </c>
      <c r="AI109" s="3">
        <f>'Finansallar - 2008-2019'!AI166/AI$13</f>
        <v>0.21392746255416401</v>
      </c>
      <c r="AJ109" s="3">
        <f>'Finansallar - 2008-2019'!AJ166/AJ$13</f>
        <v>0.45127729366157465</v>
      </c>
      <c r="AK109" s="3">
        <f>'Finansallar - 2008-2019'!AK166/AK$13</f>
        <v>3.4391247833622171E-2</v>
      </c>
      <c r="AL109" s="3">
        <f>'Finansallar - 2008-2019'!AL166/AL$13</f>
        <v>0.49235339421278418</v>
      </c>
      <c r="AM109" s="3">
        <f>'Finansallar - 2008-2019'!AM166/AM$13</f>
        <v>0.5843722172751562</v>
      </c>
      <c r="AN109" s="3">
        <f>'Finansallar - 2008-2019'!AN166/AN$13</f>
        <v>0.84154204966387813</v>
      </c>
      <c r="AO109" s="3">
        <f>'Finansallar - 2008-2019'!AO166/AO$13</f>
        <v>0.16275528954691049</v>
      </c>
      <c r="AP109" s="3">
        <f>'Finansallar - 2008-2019'!AP166/AP$13</f>
        <v>0.28658835046500214</v>
      </c>
      <c r="AQ109" s="3">
        <f>'Finansallar - 2008-2019'!AQ166/AQ$13</f>
        <v>0.43698392003476755</v>
      </c>
      <c r="AR109" s="3">
        <f>'Finansallar - 2008-2019'!AR166/AR$13</f>
        <v>0.80226082275729249</v>
      </c>
      <c r="AS109" s="3">
        <f>'Finansallar - 2008-2019'!AS166/AS$13</f>
        <v>0.2619851199910499</v>
      </c>
      <c r="AT109" s="3">
        <f>'Finansallar - 2008-2019'!AT166/AT$13</f>
        <v>1.6550705553677241</v>
      </c>
      <c r="AU109" s="3">
        <f>'Finansallar - 2008-2019'!AU166/AU$13</f>
        <v>2.0849160424580169</v>
      </c>
      <c r="AV109" s="3">
        <f>'Finansallar - 2008-2019'!AV166/AV$13</f>
        <v>3.0147058823529478</v>
      </c>
    </row>
    <row r="110" spans="1:48" ht="15" customHeight="1" x14ac:dyDescent="0.2">
      <c r="B110" s="43" t="s">
        <v>161</v>
      </c>
      <c r="C110" s="44">
        <f>'Finansallar - 2008-2019'!C167/C$13</f>
        <v>68.73686099999999</v>
      </c>
      <c r="D110" s="44">
        <f>'Finansallar - 2008-2019'!D167/D$13</f>
        <v>102.7887928</v>
      </c>
      <c r="E110" s="44">
        <f>'Finansallar - 2008-2019'!E167/E$13</f>
        <v>4.74996965651171</v>
      </c>
      <c r="F110" s="44">
        <f>'Finansallar - 2008-2019'!F167/F$13</f>
        <v>7.6432170694679078</v>
      </c>
      <c r="G110" s="44">
        <f>'Finansallar - 2008-2019'!G167/G$13</f>
        <v>18.571478894000002</v>
      </c>
      <c r="H110" s="44">
        <f>'Finansallar - 2008-2019'!H167/H$13</f>
        <v>28.031526208000002</v>
      </c>
      <c r="I110" s="44">
        <f>'Finansallar - 2008-2019'!I167/I$13</f>
        <v>14.126490769999998</v>
      </c>
      <c r="J110" s="44">
        <f>'Finansallar - 2008-2019'!J167/J$13</f>
        <v>23.80077756</v>
      </c>
      <c r="K110" s="44">
        <f>'Finansallar - 2008-2019'!K167/K$13</f>
        <v>26.684970926000002</v>
      </c>
      <c r="L110" s="44">
        <f>'Finansallar - 2008-2019'!L167/L$13</f>
        <v>35.979553084999999</v>
      </c>
      <c r="M110" s="44">
        <f>'Finansallar - 2008-2019'!M167/M$13</f>
        <v>7.1867196720000006</v>
      </c>
      <c r="N110" s="44">
        <f>'Finansallar - 2008-2019'!N167/N$13</f>
        <v>15.72660831</v>
      </c>
      <c r="O110" s="44">
        <f>'Finansallar - 2008-2019'!O167/O$13</f>
        <v>34.706149421999996</v>
      </c>
      <c r="P110" s="44">
        <f>'Finansallar - 2008-2019'!P167/P$13</f>
        <v>57.766968771999998</v>
      </c>
      <c r="Q110" s="44">
        <f>'Finansallar - 2008-2019'!Q167/Q$13</f>
        <v>26.51766216</v>
      </c>
      <c r="R110" s="44">
        <f>'Finansallar - 2008-2019'!R167/R$13</f>
        <v>62.723167085999997</v>
      </c>
      <c r="S110" s="44">
        <f>'Finansallar - 2008-2019'!S167/S$13</f>
        <v>81.014869307000012</v>
      </c>
      <c r="T110" s="44">
        <f>'Finansallar - 2008-2019'!T167/T$13</f>
        <v>107.87515198200002</v>
      </c>
      <c r="U110" s="44">
        <f>'Finansallar - 2008-2019'!U167/U$13</f>
        <v>7.1156536039999985</v>
      </c>
      <c r="V110" s="44">
        <f>'Finansallar - 2008-2019'!V167/V$13</f>
        <v>29.849079551108403</v>
      </c>
      <c r="W110" s="44">
        <f>'Finansallar - 2008-2019'!W167/W$13</f>
        <v>52.349267904999998</v>
      </c>
      <c r="X110" s="44">
        <f>'Finansallar - 2008-2019'!X167/X$13</f>
        <v>96.740352778000002</v>
      </c>
      <c r="Y110" s="44">
        <f>'Finansallar - 2008-2019'!Y167/Y$13</f>
        <v>42.133568138715759</v>
      </c>
      <c r="Z110" s="44">
        <f>'Finansallar - 2008-2019'!Z167/Z$13</f>
        <v>104.40242267326283</v>
      </c>
      <c r="AA110" s="44">
        <f>'Finansallar - 2008-2019'!AA167/AA$13</f>
        <v>147.73892126931247</v>
      </c>
      <c r="AB110" s="44">
        <f>'Finansallar - 2008-2019'!AB167/AB$13</f>
        <v>183.6089640978733</v>
      </c>
      <c r="AC110" s="44">
        <f>'Finansallar - 2008-2019'!AC167/AC$13</f>
        <v>33.106100687802673</v>
      </c>
      <c r="AD110" s="44">
        <f>'Finansallar - 2008-2019'!AD167/AD$13</f>
        <v>60.86886391300002</v>
      </c>
      <c r="AE110" s="44">
        <f>'Finansallar - 2008-2019'!AE167/AE$13</f>
        <v>102.71176869211656</v>
      </c>
      <c r="AF110" s="44">
        <f>'Finansallar - 2008-2019'!AF167/AF$13</f>
        <v>108.89007392151815</v>
      </c>
      <c r="AG110" s="44">
        <f>'Finansallar - 2008-2019'!AG167/AG$13</f>
        <v>12.437349110816401</v>
      </c>
      <c r="AH110" s="44">
        <f>'Finansallar - 2008-2019'!AH167/AH$13</f>
        <v>40.552445503999998</v>
      </c>
      <c r="AI110" s="44">
        <f>'Finansallar - 2008-2019'!AI167/AI$13</f>
        <v>47.338701422771109</v>
      </c>
      <c r="AJ110" s="44">
        <f>'Finansallar - 2008-2019'!AJ167/AJ$13</f>
        <v>56.211855140651338</v>
      </c>
      <c r="AK110" s="44">
        <f>'Finansallar - 2008-2019'!AK167/AK$13</f>
        <v>7.2857993934142087</v>
      </c>
      <c r="AL110" s="44">
        <f>'Finansallar - 2008-2019'!AL167/AL$13</f>
        <v>23.543019033997115</v>
      </c>
      <c r="AM110" s="44">
        <f>'Finansallar - 2008-2019'!AM167/AM$13</f>
        <v>31.033504007123792</v>
      </c>
      <c r="AN110" s="44">
        <f>'Finansallar - 2008-2019'!AN167/AN$13</f>
        <v>63.858142406365836</v>
      </c>
      <c r="AO110" s="44">
        <f>'Finansallar - 2008-2019'!AO167/AO$13</f>
        <v>9.8133564340841204</v>
      </c>
      <c r="AP110" s="44">
        <f>'Finansallar - 2008-2019'!AP167/AP$13</f>
        <v>19.132648066568752</v>
      </c>
      <c r="AQ110" s="44">
        <f>'Finansallar - 2008-2019'!AQ167/AQ$13</f>
        <v>38.764884832681453</v>
      </c>
      <c r="AR110" s="75">
        <f>'Finansallar - 2008-2019'!AR167/AR$13</f>
        <v>54.235109003954356</v>
      </c>
      <c r="AS110" s="44">
        <f>'Finansallar - 2008-2019'!AS167/AS$13</f>
        <v>10.925059203043142</v>
      </c>
      <c r="AT110" s="44">
        <f>'Finansallar - 2008-2019'!AT167/AT$13</f>
        <v>20.558214851326582</v>
      </c>
      <c r="AU110" s="44">
        <f>'Finansallar - 2008-2019'!AU167/AU$13</f>
        <v>29.105577052788462</v>
      </c>
      <c r="AV110" s="44">
        <f>'Finansallar - 2008-2019'!AV167/AV$13</f>
        <v>51.450134010438816</v>
      </c>
    </row>
    <row r="111" spans="1:48" ht="15" customHeight="1" x14ac:dyDescent="0.2">
      <c r="B111" s="24" t="s">
        <v>58</v>
      </c>
      <c r="C111" s="3">
        <f>'Finansallar - 2008-2019'!C168/C$13</f>
        <v>38.6076342</v>
      </c>
      <c r="D111" s="3">
        <f>'Finansallar - 2008-2019'!D168/D$13</f>
        <v>48.253430799999997</v>
      </c>
      <c r="E111" s="3">
        <f>'Finansallar - 2008-2019'!E168/E$13</f>
        <v>10.995873285592905</v>
      </c>
      <c r="F111" s="3">
        <f>'Finansallar - 2008-2019'!F168/F$13</f>
        <v>21.03877710288673</v>
      </c>
      <c r="G111" s="3">
        <f>'Finansallar - 2008-2019'!G168/G$13</f>
        <v>30.815730016000003</v>
      </c>
      <c r="H111" s="3">
        <f>'Finansallar - 2008-2019'!H168/H$13</f>
        <v>39.817214745000001</v>
      </c>
      <c r="I111" s="3">
        <f>'Finansallar - 2008-2019'!I168/I$13</f>
        <v>9.9924764799999988</v>
      </c>
      <c r="J111" s="3">
        <f>'Finansallar - 2008-2019'!J168/J$13</f>
        <v>18.416750183999998</v>
      </c>
      <c r="K111" s="3">
        <f>'Finansallar - 2008-2019'!K168/K$13</f>
        <v>26.999991743000006</v>
      </c>
      <c r="L111" s="3">
        <f>'Finansallar - 2008-2019'!L168/L$13</f>
        <v>35.898835073999997</v>
      </c>
      <c r="M111" s="3">
        <f>'Finansallar - 2008-2019'!M168/M$13</f>
        <v>7.7667251310000003</v>
      </c>
      <c r="N111" s="3">
        <f>'Finansallar - 2008-2019'!N168/N$13</f>
        <v>15.210656895000001</v>
      </c>
      <c r="O111" s="3">
        <f>'Finansallar - 2008-2019'!O168/O$13</f>
        <v>24.203704476000002</v>
      </c>
      <c r="P111" s="3">
        <f>'Finansallar - 2008-2019'!P168/P$13</f>
        <v>33.419337892000001</v>
      </c>
      <c r="Q111" s="3">
        <f>'Finansallar - 2008-2019'!Q168/Q$13</f>
        <v>9.3440902500000007</v>
      </c>
      <c r="R111" s="3">
        <f>'Finansallar - 2008-2019'!R168/R$13</f>
        <v>19.188179565999999</v>
      </c>
      <c r="S111" s="3">
        <f>'Finansallar - 2008-2019'!S168/S$13</f>
        <v>29.972107376000004</v>
      </c>
      <c r="T111" s="3">
        <f>'Finansallar - 2008-2019'!T168/T$13</f>
        <v>40.098729645000006</v>
      </c>
      <c r="U111" s="3">
        <f>'Finansallar - 2008-2019'!U168/U$13</f>
        <v>8.0463954749999989</v>
      </c>
      <c r="V111" s="3">
        <f>'Finansallar - 2008-2019'!V168/V$13</f>
        <v>15.901929349328318</v>
      </c>
      <c r="W111" s="3">
        <f>'Finansallar - 2008-2019'!W168/W$13</f>
        <v>24.415628545000001</v>
      </c>
      <c r="X111" s="3">
        <f>'Finansallar - 2008-2019'!X168/X$13</f>
        <v>32.353791336999997</v>
      </c>
      <c r="Y111" s="3">
        <f>'Finansallar - 2008-2019'!Y168/Y$13</f>
        <v>7.9707396369547494</v>
      </c>
      <c r="Z111" s="3">
        <f>'Finansallar - 2008-2019'!Z168/Z$13</f>
        <v>15.740441074483346</v>
      </c>
      <c r="AA111" s="3">
        <f>'Finansallar - 2008-2019'!AA168/AA$13</f>
        <v>22.774077157923927</v>
      </c>
      <c r="AB111" s="3">
        <f>'Finansallar - 2008-2019'!AB168/AB$13</f>
        <v>29.331351474959977</v>
      </c>
      <c r="AC111" s="3">
        <f>'Finansallar - 2008-2019'!AC168/AC$13</f>
        <v>6.6598836026209733</v>
      </c>
      <c r="AD111" s="3">
        <f>'Finansallar - 2008-2019'!AD168/AD$13</f>
        <v>14.458703259000002</v>
      </c>
      <c r="AE111" s="3">
        <f>'Finansallar - 2008-2019'!AE168/AE$13</f>
        <v>20.87794593780589</v>
      </c>
      <c r="AF111" s="3">
        <f>'Finansallar - 2008-2019'!AF168/AF$13</f>
        <v>27.205693060203746</v>
      </c>
      <c r="AG111" s="3">
        <f>'Finansallar - 2008-2019'!AG168/AG$13</f>
        <v>5.7581012615185756</v>
      </c>
      <c r="AH111" s="3">
        <f>'Finansallar - 2008-2019'!AH168/AH$13</f>
        <v>10.712458140000001</v>
      </c>
      <c r="AI111" s="3">
        <f>'Finansallar - 2008-2019'!AI168/AI$13</f>
        <v>15.457709236070814</v>
      </c>
      <c r="AJ111" s="3">
        <f>'Finansallar - 2008-2019'!AJ168/AJ$13</f>
        <v>20.076538219409539</v>
      </c>
      <c r="AK111" s="3">
        <f>'Finansallar - 2008-2019'!AK168/AK$13</f>
        <v>4.157820623916809</v>
      </c>
      <c r="AL111" s="3">
        <f>'Finansallar - 2008-2019'!AL168/AL$13</f>
        <v>8.9976895147980986</v>
      </c>
      <c r="AM111" s="3">
        <f>'Finansallar - 2008-2019'!AM168/AM$13</f>
        <v>13.936720837043639</v>
      </c>
      <c r="AN111" s="3">
        <f>'Finansallar - 2008-2019'!AN168/AN$13</f>
        <v>19.413088215118698</v>
      </c>
      <c r="AO111" s="3">
        <f>'Finansallar - 2008-2019'!AO168/AO$13</f>
        <v>5.5859190423688849</v>
      </c>
      <c r="AP111" s="3">
        <f>'Finansallar - 2008-2019'!AP168/AP$13</f>
        <v>11.270190895741543</v>
      </c>
      <c r="AQ111" s="3">
        <f>'Finansallar - 2008-2019'!AQ168/AQ$13</f>
        <v>17.297262059973928</v>
      </c>
      <c r="AR111" s="3">
        <f>'Finansallar - 2008-2019'!AR168/AR$13</f>
        <v>24.336763214012127</v>
      </c>
      <c r="AS111" s="3">
        <f>'Finansallar - 2008-2019'!AS168/AS$13</f>
        <v>7.4200525834902837</v>
      </c>
      <c r="AT111" s="3">
        <f>'Finansallar - 2008-2019'!AT168/AT$13</f>
        <v>17.410893819954797</v>
      </c>
      <c r="AU111" s="3">
        <f>'Finansallar - 2008-2019'!AU168/AU$13</f>
        <v>26.122333061166476</v>
      </c>
      <c r="AV111" s="3">
        <f>'Finansallar - 2008-2019'!AV168/AV$13</f>
        <v>34.494639582451761</v>
      </c>
    </row>
    <row r="112" spans="1:48" ht="15" customHeight="1" x14ac:dyDescent="0.2">
      <c r="B112" s="24" t="s">
        <v>74</v>
      </c>
      <c r="C112" s="3">
        <f>'Finansallar - 2008-2019'!C169/C$13</f>
        <v>11.4491718</v>
      </c>
      <c r="D112" s="3">
        <f>'Finansallar - 2008-2019'!D169/D$13</f>
        <v>16.630318599999999</v>
      </c>
      <c r="E112" s="3">
        <f>'Finansallar - 2008-2019'!E169/E$13</f>
        <v>2.7873528340818043</v>
      </c>
      <c r="F112" s="3">
        <f>'Finansallar - 2008-2019'!F169/F$13</f>
        <v>5.7249389914071882</v>
      </c>
      <c r="G112" s="3">
        <f>'Finansallar - 2008-2019'!G169/G$13</f>
        <v>8.7291245820000007</v>
      </c>
      <c r="H112" s="3">
        <f>'Finansallar - 2008-2019'!H169/H$13</f>
        <v>11.422743415999999</v>
      </c>
      <c r="I112" s="3">
        <f>'Finansallar - 2008-2019'!I169/I$13</f>
        <v>3.3696644099999999</v>
      </c>
      <c r="J112" s="3">
        <f>'Finansallar - 2008-2019'!J169/J$13</f>
        <v>4.8696298560000004</v>
      </c>
      <c r="K112" s="3">
        <f>'Finansallar - 2008-2019'!K169/K$13</f>
        <v>7.2666122630000007</v>
      </c>
      <c r="L112" s="3">
        <f>'Finansallar - 2008-2019'!L169/L$13</f>
        <v>9.3225967250000004</v>
      </c>
      <c r="M112" s="3">
        <f>'Finansallar - 2008-2019'!M169/M$13</f>
        <v>2.117561094</v>
      </c>
      <c r="N112" s="3">
        <f>'Finansallar - 2008-2019'!N169/N$13</f>
        <v>4.3194148200000004</v>
      </c>
      <c r="O112" s="3">
        <f>'Finansallar - 2008-2019'!O169/O$13</f>
        <v>6.4359457259999999</v>
      </c>
      <c r="P112" s="3">
        <f>'Finansallar - 2008-2019'!P169/P$13</f>
        <v>8.3642611000000002</v>
      </c>
      <c r="Q112" s="3">
        <f>'Finansallar - 2008-2019'!Q169/Q$13</f>
        <v>1.4788524299999999</v>
      </c>
      <c r="R112" s="3">
        <f>'Finansallar - 2008-2019'!R169/R$13</f>
        <v>3.6537496569999997</v>
      </c>
      <c r="S112" s="3">
        <f>'Finansallar - 2008-2019'!S169/S$13</f>
        <v>5.6259009940000002</v>
      </c>
      <c r="T112" s="3">
        <f>'Finansallar - 2008-2019'!T169/T$13</f>
        <v>7.539331176000001</v>
      </c>
      <c r="U112" s="3">
        <f>'Finansallar - 2008-2019'!U169/U$13</f>
        <v>1.7019600899999998</v>
      </c>
      <c r="V112" s="3">
        <f>'Finansallar - 2008-2019'!V169/V$13</f>
        <v>3.8316103709436664</v>
      </c>
      <c r="W112" s="3">
        <f>'Finansallar - 2008-2019'!W169/W$13</f>
        <v>5.8060868249999995</v>
      </c>
      <c r="X112" s="3">
        <f>'Finansallar - 2008-2019'!X169/X$13</f>
        <v>8.2451492789999996</v>
      </c>
      <c r="Y112" s="3">
        <f>'Finansallar - 2008-2019'!Y169/Y$13</f>
        <v>1.0295312923327002</v>
      </c>
      <c r="Z112" s="3">
        <f>'Finansallar - 2008-2019'!Z169/Z$13</f>
        <v>5.4597993434740433</v>
      </c>
      <c r="AA112" s="3">
        <f>'Finansallar - 2008-2019'!AA169/AA$13</f>
        <v>7.4914423165880208</v>
      </c>
      <c r="AB112" s="3">
        <f>'Finansallar - 2008-2019'!AB169/AB$13</f>
        <v>9.6565286988337533</v>
      </c>
      <c r="AC112" s="3">
        <f>'Finansallar - 2008-2019'!AC169/AC$13</f>
        <v>2.7935370965772646</v>
      </c>
      <c r="AD112" s="3">
        <f>'Finansallar - 2008-2019'!AD169/AD$13</f>
        <v>5.0753668680000006</v>
      </c>
      <c r="AE112" s="3">
        <f>'Finansallar - 2008-2019'!AE169/AE$13</f>
        <v>6.6113244484602074</v>
      </c>
      <c r="AF112" s="3">
        <f>'Finansallar - 2008-2019'!AF169/AF$13</f>
        <v>7.9121768232135645</v>
      </c>
      <c r="AG112" s="3">
        <f>'Finansallar - 2008-2019'!AG169/AG$13</f>
        <v>4.6849603862763045</v>
      </c>
      <c r="AH112" s="3">
        <f>'Finansallar - 2008-2019'!AH169/AH$13</f>
        <v>7.5823368140000005</v>
      </c>
      <c r="AI112" s="3">
        <f>'Finansallar - 2008-2019'!AI169/AI$13</f>
        <v>12.302705653553502</v>
      </c>
      <c r="AJ112" s="3">
        <f>'Finansallar - 2008-2019'!AJ169/AJ$13</f>
        <v>16.193300420794518</v>
      </c>
      <c r="AK112" s="3">
        <f>'Finansallar - 2008-2019'!AK169/AK$13</f>
        <v>4.8960138648180216</v>
      </c>
      <c r="AL112" s="3">
        <f>'Finansallar - 2008-2019'!AL169/AL$13</f>
        <v>7.8097150401584257</v>
      </c>
      <c r="AM112" s="3">
        <f>'Finansallar - 2008-2019'!AM169/AM$13</f>
        <v>12.562333036509356</v>
      </c>
      <c r="AN112" s="3">
        <f>'Finansallar - 2008-2019'!AN169/AN$13</f>
        <v>16.525723693236404</v>
      </c>
      <c r="AO112" s="3">
        <f>'Finansallar - 2008-2019'!AO169/AO$13</f>
        <v>5.3885126266603738</v>
      </c>
      <c r="AP112" s="3">
        <f>'Finansallar - 2008-2019'!AP169/AP$13</f>
        <v>8.4794419970631321</v>
      </c>
      <c r="AQ112" s="3">
        <f>'Finansallar - 2008-2019'!AQ169/AQ$13</f>
        <v>11.25445458496306</v>
      </c>
      <c r="AR112" s="3">
        <f>'Finansallar - 2008-2019'!AR169/AR$13</f>
        <v>13.953541334547936</v>
      </c>
      <c r="AS112" s="3">
        <f>'Finansallar - 2008-2019'!AS169/AS$13</f>
        <v>4.2613138413917886</v>
      </c>
      <c r="AT112" s="3">
        <f>'Finansallar - 2008-2019'!AT169/AT$13</f>
        <v>7.4500418171788514</v>
      </c>
      <c r="AU112" s="3">
        <f>'Finansallar - 2008-2019'!AU169/AU$13</f>
        <v>10.550072775036364</v>
      </c>
      <c r="AV112" s="3">
        <f>'Finansallar - 2008-2019'!AV169/AV$13</f>
        <v>15.168042036958701</v>
      </c>
    </row>
    <row r="113" spans="1:48" ht="15" customHeight="1" x14ac:dyDescent="0.2">
      <c r="B113" s="24" t="s">
        <v>75</v>
      </c>
      <c r="C113" s="3">
        <f>'Finansallar - 2008-2019'!C170/C$13</f>
        <v>0.21161160000000001</v>
      </c>
      <c r="D113" s="3">
        <f>'Finansallar - 2008-2019'!D170/D$13</f>
        <v>0.26508639999999994</v>
      </c>
      <c r="E113" s="3">
        <f>'Finansallar - 2008-2019'!E170/E$13</f>
        <v>5.5832018448840844E-2</v>
      </c>
      <c r="F113" s="3">
        <f>'Finansallar - 2008-2019'!F170/F$13</f>
        <v>0.11708970086864134</v>
      </c>
      <c r="G113" s="3">
        <f>'Finansallar - 2008-2019'!G170/G$13</f>
        <v>0.17990302799999999</v>
      </c>
      <c r="H113" s="3">
        <f>'Finansallar - 2008-2019'!H170/H$13</f>
        <v>0.25360871200000001</v>
      </c>
      <c r="I113" s="3">
        <f>'Finansallar - 2008-2019'!I170/I$13</f>
        <v>7.1241669999999993E-2</v>
      </c>
      <c r="J113" s="3">
        <f>'Finansallar - 2008-2019'!J170/J$13</f>
        <v>0.14244854399999998</v>
      </c>
      <c r="K113" s="3">
        <f>'Finansallar - 2008-2019'!K170/K$13</f>
        <v>0.21133472000000003</v>
      </c>
      <c r="L113" s="3">
        <f>'Finansallar - 2008-2019'!L170/L$13</f>
        <v>0.316868225</v>
      </c>
      <c r="M113" s="3">
        <f>'Finansallar - 2008-2019'!M170/M$13</f>
        <v>7.0670258999999999E-2</v>
      </c>
      <c r="N113" s="3">
        <f>'Finansallar - 2008-2019'!N170/N$13</f>
        <v>7.6082054999999996E-2</v>
      </c>
      <c r="O113" s="3">
        <f>'Finansallar - 2008-2019'!O170/O$13</f>
        <v>0.11618569200000001</v>
      </c>
      <c r="P113" s="3">
        <f>'Finansallar - 2008-2019'!P170/P$13</f>
        <v>0.15621267600000002</v>
      </c>
      <c r="Q113" s="3">
        <f>'Finansallar - 2008-2019'!Q170/Q$13</f>
        <v>3.408009E-2</v>
      </c>
      <c r="R113" s="3">
        <f>'Finansallar - 2008-2019'!R170/R$13</f>
        <v>7.3041539000000003E-2</v>
      </c>
      <c r="S113" s="3">
        <f>'Finansallar - 2008-2019'!S170/S$13</f>
        <v>0.12874808100000001</v>
      </c>
      <c r="T113" s="3">
        <f>'Finansallar - 2008-2019'!T170/T$13</f>
        <v>0.16181217000000001</v>
      </c>
      <c r="U113" s="3">
        <f>'Finansallar - 2008-2019'!U170/U$13</f>
        <v>3.4825585999999999E-2</v>
      </c>
      <c r="V113" s="3">
        <f>'Finansallar - 2008-2019'!V170/V$13</f>
        <v>7.5183813367239755E-2</v>
      </c>
      <c r="W113" s="3">
        <f>'Finansallar - 2008-2019'!W170/W$13</f>
        <v>0.111128985</v>
      </c>
      <c r="X113" s="3">
        <f>'Finansallar - 2008-2019'!X170/X$13</f>
        <v>0.15079066099999999</v>
      </c>
      <c r="Y113" s="3">
        <f>'Finansallar - 2008-2019'!Y170/Y$13</f>
        <v>3.34146121195701E-2</v>
      </c>
      <c r="Z113" s="3">
        <f>'Finansallar - 2008-2019'!Z170/Z$13</f>
        <v>6.9351333857321243E-2</v>
      </c>
      <c r="AA113" s="3">
        <f>'Finansallar - 2008-2019'!AA170/AA$13</f>
        <v>0.11194375057822174</v>
      </c>
      <c r="AB113" s="3">
        <f>'Finansallar - 2008-2019'!AB170/AB$13</f>
        <v>0.16922021495540818</v>
      </c>
      <c r="AC113" s="3">
        <f>'Finansallar - 2008-2019'!AC170/AC$13</f>
        <v>6.471043099588944E-2</v>
      </c>
      <c r="AD113" s="3">
        <f>'Finansallar - 2008-2019'!AD170/AD$13</f>
        <v>0.12965695600000002</v>
      </c>
      <c r="AE113" s="3">
        <f>'Finansallar - 2008-2019'!AE170/AE$13</f>
        <v>0.18899179278668776</v>
      </c>
      <c r="AF113" s="3">
        <f>'Finansallar - 2008-2019'!AF170/AF$13</f>
        <v>0.24897944172704209</v>
      </c>
      <c r="AG113" s="3">
        <f>'Finansallar - 2008-2019'!AG170/AG$13</f>
        <v>6.1885817266823004E-2</v>
      </c>
      <c r="AH113" s="3">
        <f>'Finansallar - 2008-2019'!AH170/AH$13</f>
        <v>0.12576686300000001</v>
      </c>
      <c r="AI113" s="3">
        <f>'Finansallar - 2008-2019'!AI170/AI$13</f>
        <v>0.19618547203930509</v>
      </c>
      <c r="AJ113" s="3">
        <f>'Finansallar - 2008-2019'!AJ170/AJ$13</f>
        <v>0.28859216063086013</v>
      </c>
      <c r="AK113" s="3">
        <f>'Finansallar - 2008-2019'!AK170/AK$13</f>
        <v>7.2844454072790277E-2</v>
      </c>
      <c r="AL113" s="3">
        <f>'Finansallar - 2008-2019'!AL170/AL$13</f>
        <v>0.14523049840466484</v>
      </c>
      <c r="AM113" s="3">
        <f>'Finansallar - 2008-2019'!AM170/AM$13</f>
        <v>0.2156611754229743</v>
      </c>
      <c r="AN113" s="3">
        <f>'Finansallar - 2008-2019'!AN170/AN$13</f>
        <v>0.54712580600905547</v>
      </c>
      <c r="AO113" s="3">
        <f>'Finansallar - 2008-2019'!AO170/AO$13</f>
        <v>7.6914999737491566E-2</v>
      </c>
      <c r="AP113" s="3">
        <f>'Finansallar - 2008-2019'!AP170/AP$13</f>
        <v>0.15956926089084661</v>
      </c>
      <c r="AQ113" s="3">
        <f>'Finansallar - 2008-2019'!AQ170/AQ$13</f>
        <v>0.21012603215993048</v>
      </c>
      <c r="AR113" s="3">
        <f>'Finansallar - 2008-2019'!AR170/AR$13</f>
        <v>0.28301691476366941</v>
      </c>
      <c r="AS113" s="3">
        <f>'Finansallar - 2008-2019'!AS170/AS$13</f>
        <v>7.9621100523970326E-2</v>
      </c>
      <c r="AT113" s="3">
        <f>'Finansallar - 2008-2019'!AT170/AT$13</f>
        <v>0.1565919888962044</v>
      </c>
      <c r="AU113" s="3">
        <f>'Finansallar - 2008-2019'!AU170/AU$13</f>
        <v>0.23092761546380722</v>
      </c>
      <c r="AV113" s="73"/>
    </row>
    <row r="114" spans="1:48" ht="15" customHeight="1" x14ac:dyDescent="0.2">
      <c r="B114" s="24" t="s">
        <v>76</v>
      </c>
      <c r="C114" s="3">
        <f>'Finansallar - 2008-2019'!C171/C$13</f>
        <v>2.7445532400000001</v>
      </c>
      <c r="D114" s="3">
        <f>'Finansallar - 2008-2019'!D171/D$13</f>
        <v>4.1512221999999994</v>
      </c>
      <c r="E114" s="3">
        <f>'Finansallar - 2008-2019'!E171/E$13</f>
        <v>0.77011773273455464</v>
      </c>
      <c r="F114" s="3">
        <f>'Finansallar - 2008-2019'!F171/F$13</f>
        <v>1.518429205945466</v>
      </c>
      <c r="G114" s="3">
        <f>'Finansallar - 2008-2019'!G171/G$13</f>
        <v>2.0829198100000004</v>
      </c>
      <c r="H114" s="3">
        <f>'Finansallar - 2008-2019'!H171/H$13</f>
        <v>3.1668740949999998</v>
      </c>
      <c r="I114" s="3">
        <f>'Finansallar - 2008-2019'!I171/I$13</f>
        <v>0.84358126999999994</v>
      </c>
      <c r="J114" s="3">
        <f>'Finansallar - 2008-2019'!J171/J$13</f>
        <v>1.60914096</v>
      </c>
      <c r="K114" s="3">
        <f>'Finansallar - 2008-2019'!K171/K$13</f>
        <v>2.3669488640000003</v>
      </c>
      <c r="L114" s="3">
        <f>'Finansallar - 2008-2019'!L171/L$13</f>
        <v>3.2093748010000001</v>
      </c>
      <c r="M114" s="3">
        <f>'Finansallar - 2008-2019'!M171/M$13</f>
        <v>0.79074289800000008</v>
      </c>
      <c r="N114" s="3">
        <f>'Finansallar - 2008-2019'!N171/N$13</f>
        <v>1.5536083500000002</v>
      </c>
      <c r="O114" s="3">
        <f>'Finansallar - 2008-2019'!O171/O$13</f>
        <v>2.3125896780000001</v>
      </c>
      <c r="P114" s="3">
        <f>'Finansallar - 2008-2019'!P171/P$13</f>
        <v>3.0075429000000002</v>
      </c>
      <c r="Q114" s="3">
        <f>'Finansallar - 2008-2019'!Q171/Q$13</f>
        <v>0.72573831</v>
      </c>
      <c r="R114" s="3">
        <f>'Finansallar - 2008-2019'!R171/R$13</f>
        <v>1.4290493470000001</v>
      </c>
      <c r="S114" s="3">
        <f>'Finansallar - 2008-2019'!S171/S$13</f>
        <v>2.1948482380000001</v>
      </c>
      <c r="T114" s="3">
        <f>'Finansallar - 2008-2019'!T171/T$13</f>
        <v>2.9416336560000005</v>
      </c>
      <c r="U114" s="3">
        <f>'Finansallar - 2008-2019'!U171/U$13</f>
        <v>0.71055429499999989</v>
      </c>
      <c r="V114" s="3">
        <f>'Finansallar - 2008-2019'!V171/V$13</f>
        <v>1.3638122615954444</v>
      </c>
      <c r="W114" s="3">
        <f>'Finansallar - 2008-2019'!W171/W$13</f>
        <v>1.9852897899999999</v>
      </c>
      <c r="X114" s="3">
        <f>'Finansallar - 2008-2019'!X171/X$13</f>
        <v>2.5960162229999999</v>
      </c>
      <c r="Y114" s="3">
        <f>'Finansallar - 2008-2019'!Y171/Y$13</f>
        <v>0.503025377043258</v>
      </c>
      <c r="Z114" s="3">
        <f>'Finansallar - 2008-2019'!Z171/Z$13</f>
        <v>1.0120671320911747</v>
      </c>
      <c r="AA114" s="3">
        <f>'Finansallar - 2008-2019'!AA171/AA$13</f>
        <v>1.5186418725136446</v>
      </c>
      <c r="AB114" s="3">
        <f>'Finansallar - 2008-2019'!AB171/AB$13</f>
        <v>2.0032014635261834</v>
      </c>
      <c r="AC114" s="3">
        <f>'Finansallar - 2008-2019'!AC171/AC$13</f>
        <v>0.45500793618493335</v>
      </c>
      <c r="AD114" s="3">
        <f>'Finansallar - 2008-2019'!AD171/AD$13</f>
        <v>0.83730275200000004</v>
      </c>
      <c r="AE114" s="3">
        <f>'Finansallar - 2008-2019'!AE171/AE$13</f>
        <v>1.2623296438521199</v>
      </c>
      <c r="AF114" s="3">
        <f>'Finansallar - 2008-2019'!AF171/AF$13</f>
        <v>1.6332610054797545</v>
      </c>
      <c r="AG114" s="3">
        <f>'Finansallar - 2008-2019'!AG171/AG$13</f>
        <v>0.36519432826685666</v>
      </c>
      <c r="AH114" s="3">
        <f>'Finansallar - 2008-2019'!AH171/AH$13</f>
        <v>0.72512992399999998</v>
      </c>
      <c r="AI114" s="3">
        <f>'Finansallar - 2008-2019'!AI171/AI$13</f>
        <v>1.0532600907571041</v>
      </c>
      <c r="AJ114" s="3">
        <f>'Finansallar - 2008-2019'!AJ171/AJ$13</f>
        <v>1.3448858553394505</v>
      </c>
      <c r="AK114" s="3">
        <f>'Finansallar - 2008-2019'!AK171/AK$13</f>
        <v>0.26375649913344879</v>
      </c>
      <c r="AL114" s="3">
        <f>'Finansallar - 2008-2019'!AL171/AL$13</f>
        <v>0.53993838706128239</v>
      </c>
      <c r="AM114" s="3">
        <f>'Finansallar - 2008-2019'!AM171/AM$13</f>
        <v>0.83036509349955523</v>
      </c>
      <c r="AN114" s="3">
        <f>'Finansallar - 2008-2019'!AN171/AN$13</f>
        <v>1.1035807380985061</v>
      </c>
      <c r="AO114" s="3">
        <f>'Finansallar - 2008-2019'!AO171/AO$13</f>
        <v>0.27694650076127508</v>
      </c>
      <c r="AP114" s="3">
        <f>'Finansallar - 2008-2019'!AP171/AP$13</f>
        <v>0.52031326480665629</v>
      </c>
      <c r="AQ114" s="3">
        <f>'Finansallar - 2008-2019'!AQ171/AQ$13</f>
        <v>0.70643198609300306</v>
      </c>
      <c r="AR114" s="3">
        <f>'Finansallar - 2008-2019'!AR171/AR$13</f>
        <v>1.0268938531293343</v>
      </c>
      <c r="AS114" s="3">
        <f>'Finansallar - 2008-2019'!AS171/AS$13</f>
        <v>0.25452646888810188</v>
      </c>
      <c r="AT114" s="3">
        <f>'Finansallar - 2008-2019'!AT171/AT$13</f>
        <v>0.52404932647650215</v>
      </c>
      <c r="AU114" s="3">
        <f>'Finansallar - 2008-2019'!AU171/AU$13</f>
        <v>0.82377791188895411</v>
      </c>
      <c r="AV114" s="3">
        <f>'Finansallar - 2008-2019'!AV171/AV$13</f>
        <v>1.3155945831570066</v>
      </c>
    </row>
    <row r="115" spans="1:48" ht="15" customHeight="1" x14ac:dyDescent="0.2">
      <c r="A115" s="55" t="s">
        <v>164</v>
      </c>
      <c r="B115" s="43" t="s">
        <v>162</v>
      </c>
      <c r="C115" s="44">
        <f>'Finansallar - 2008-2019'!C172/C$13</f>
        <v>53.012970840000008</v>
      </c>
      <c r="D115" s="44">
        <f>'Finansallar - 2008-2019'!D172/D$13</f>
        <v>69.300057999999993</v>
      </c>
      <c r="E115" s="44">
        <f>'Finansallar - 2008-2019'!E172/E$13</f>
        <v>14.609175870858103</v>
      </c>
      <c r="F115" s="44">
        <f>'Finansallar - 2008-2019'!F172/F$13</f>
        <v>28.399235001108028</v>
      </c>
      <c r="G115" s="44">
        <f>'Finansallar - 2008-2019'!G172/G$13</f>
        <v>41.807677435999999</v>
      </c>
      <c r="H115" s="44">
        <f>'Finansallar - 2008-2019'!H172/H$13</f>
        <v>54.660440967999989</v>
      </c>
      <c r="I115" s="44">
        <f>'Finansallar - 2008-2019'!I172/I$13</f>
        <v>14.276963829999998</v>
      </c>
      <c r="J115" s="44">
        <f>'Finansallar - 2008-2019'!J172/J$13</f>
        <v>25.037969543999999</v>
      </c>
      <c r="K115" s="44">
        <f>'Finansallar - 2008-2019'!K172/K$13</f>
        <v>36.844887590000006</v>
      </c>
      <c r="L115" s="44">
        <f>'Finansallar - 2008-2019'!L172/L$13</f>
        <v>48.74767482499999</v>
      </c>
      <c r="M115" s="44">
        <f>'Finansallar - 2008-2019'!M172/M$13</f>
        <v>10.745699382000002</v>
      </c>
      <c r="N115" s="44">
        <f>'Finansallar - 2008-2019'!N172/N$13</f>
        <v>21.159762120000003</v>
      </c>
      <c r="O115" s="44">
        <f>'Finansallar - 2008-2019'!O172/O$13</f>
        <v>33.068425572000002</v>
      </c>
      <c r="P115" s="44">
        <f>'Finansallar - 2008-2019'!P172/P$13</f>
        <v>44.947354568000002</v>
      </c>
      <c r="Q115" s="44">
        <f>'Finansallar - 2008-2019'!Q172/Q$13</f>
        <v>11.582761079999999</v>
      </c>
      <c r="R115" s="44">
        <f>'Finansallar - 2008-2019'!R172/R$13</f>
        <v>24.344020108999999</v>
      </c>
      <c r="S115" s="44">
        <f>'Finansallar - 2008-2019'!S172/S$13</f>
        <v>37.921604688999999</v>
      </c>
      <c r="T115" s="44">
        <f>'Finansallar - 2008-2019'!T172/T$13</f>
        <v>50.741506647000008</v>
      </c>
      <c r="U115" s="44">
        <f>'Finansallar - 2008-2019'!U172/U$13</f>
        <v>10.493735446000001</v>
      </c>
      <c r="V115" s="44">
        <f>'Finansallar - 2008-2019'!V172/V$13</f>
        <v>21.172535795234669</v>
      </c>
      <c r="W115" s="44">
        <f>'Finansallar - 2008-2019'!W172/W$13</f>
        <v>32.318134145000002</v>
      </c>
      <c r="X115" s="44">
        <f>'Finansallar - 2008-2019'!X172/X$13</f>
        <v>43.345747500000009</v>
      </c>
      <c r="Y115" s="44">
        <f>'Finansallar - 2008-2019'!Y172/Y$13</f>
        <v>9.5367109184502787</v>
      </c>
      <c r="Z115" s="44">
        <f>'Finansallar - 2008-2019'!Z172/Z$13</f>
        <v>22.281658883905884</v>
      </c>
      <c r="AA115" s="44">
        <f>'Finansallar - 2008-2019'!AA172/AA$13</f>
        <v>31.896105097603819</v>
      </c>
      <c r="AB115" s="44">
        <f>'Finansallar - 2008-2019'!AB172/AB$13</f>
        <v>41.160301852275325</v>
      </c>
      <c r="AC115" s="44">
        <f>'Finansallar - 2008-2019'!AC172/AC$13</f>
        <v>9.9731390663790602</v>
      </c>
      <c r="AD115" s="44">
        <f>'Finansallar - 2008-2019'!AD172/AD$13</f>
        <v>20.501029835000001</v>
      </c>
      <c r="AE115" s="44">
        <f>'Finansallar - 2008-2019'!AE172/AE$13</f>
        <v>28.940591822904899</v>
      </c>
      <c r="AF115" s="44">
        <f>'Finansallar - 2008-2019'!AF172/AF$13</f>
        <v>37.000110330624111</v>
      </c>
      <c r="AG115" s="44">
        <f>'Finansallar - 2008-2019'!AG172/AG$13</f>
        <v>10.87014179332856</v>
      </c>
      <c r="AH115" s="44">
        <f>'Finansallar - 2008-2019'!AH172/AH$13</f>
        <v>19.145691741</v>
      </c>
      <c r="AI115" s="44">
        <f>'Finansallar - 2008-2019'!AI172/AI$13</f>
        <v>29.009860452420728</v>
      </c>
      <c r="AJ115" s="44">
        <f>'Finansallar - 2008-2019'!AJ172/AJ$13</f>
        <v>37.903316656174368</v>
      </c>
      <c r="AK115" s="44">
        <f>'Finansallar - 2008-2019'!AK172/AK$13</f>
        <v>9.3904354419410687</v>
      </c>
      <c r="AL115" s="44">
        <f>'Finansallar - 2008-2019'!AL172/AL$13</f>
        <v>17.492573440422472</v>
      </c>
      <c r="AM115" s="44">
        <f>'Finansallar - 2008-2019'!AM172/AM$13</f>
        <v>27.545080142475527</v>
      </c>
      <c r="AN115" s="44">
        <f>'Finansallar - 2008-2019'!AN172/AN$13</f>
        <v>37.589518452462663</v>
      </c>
      <c r="AO115" s="44">
        <f>'Finansallar - 2008-2019'!AO172/AO$13</f>
        <v>11.328293169528024</v>
      </c>
      <c r="AP115" s="44">
        <f>'Finansallar - 2008-2019'!AP172/AP$13</f>
        <v>20.429515418502181</v>
      </c>
      <c r="AQ115" s="44">
        <f>'Finansallar - 2008-2019'!AQ172/AQ$13</f>
        <v>29.468274663189927</v>
      </c>
      <c r="AR115" s="44">
        <f>'Finansallar - 2008-2019'!AR172/AR$13</f>
        <v>39.317198401689396</v>
      </c>
      <c r="AS115" s="44">
        <f>'Finansallar - 2008-2019'!AS172/AS$13</f>
        <v>12.015513994294144</v>
      </c>
      <c r="AT115" s="44">
        <f>'Finansallar - 2008-2019'!AT172/AT$13</f>
        <v>25.541576952506354</v>
      </c>
      <c r="AU115" s="44">
        <f>'Finansallar - 2008-2019'!AU172/AU$13</f>
        <v>37.727111363555601</v>
      </c>
      <c r="AV115" s="44">
        <f>'Finansallar - 2008-2019'!AV172/AV$13</f>
        <v>50.978276202567464</v>
      </c>
    </row>
    <row r="116" spans="1:48" x14ac:dyDescent="0.2">
      <c r="A116" s="55"/>
      <c r="B116" s="2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48" x14ac:dyDescent="0.2">
      <c r="A117" s="55"/>
      <c r="B117" s="2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48" ht="20.100000000000001" customHeight="1" x14ac:dyDescent="0.2">
      <c r="B118" s="32" t="s">
        <v>165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</row>
    <row r="119" spans="1:48" x14ac:dyDescent="0.2">
      <c r="B119" s="34" t="s">
        <v>244</v>
      </c>
      <c r="C119" s="35" t="s">
        <v>99</v>
      </c>
      <c r="D119" s="35">
        <v>2008</v>
      </c>
      <c r="E119" s="35" t="s">
        <v>100</v>
      </c>
      <c r="F119" s="35" t="s">
        <v>101</v>
      </c>
      <c r="G119" s="35" t="s">
        <v>102</v>
      </c>
      <c r="H119" s="35">
        <v>2009</v>
      </c>
      <c r="I119" s="35" t="s">
        <v>103</v>
      </c>
      <c r="J119" s="35" t="s">
        <v>104</v>
      </c>
      <c r="K119" s="35" t="s">
        <v>105</v>
      </c>
      <c r="L119" s="35">
        <v>2010</v>
      </c>
      <c r="M119" s="35" t="s">
        <v>106</v>
      </c>
      <c r="N119" s="35" t="s">
        <v>107</v>
      </c>
      <c r="O119" s="35" t="s">
        <v>108</v>
      </c>
      <c r="P119" s="35">
        <v>2011</v>
      </c>
      <c r="Q119" s="35" t="s">
        <v>96</v>
      </c>
      <c r="R119" s="35" t="s">
        <v>97</v>
      </c>
      <c r="S119" s="35" t="s">
        <v>98</v>
      </c>
      <c r="T119" s="35">
        <v>2012</v>
      </c>
      <c r="U119" s="35" t="s">
        <v>93</v>
      </c>
      <c r="V119" s="35" t="s">
        <v>94</v>
      </c>
      <c r="W119" s="35" t="s">
        <v>95</v>
      </c>
      <c r="X119" s="35">
        <v>2013</v>
      </c>
      <c r="Y119" s="35" t="s">
        <v>90</v>
      </c>
      <c r="Z119" s="35" t="s">
        <v>91</v>
      </c>
      <c r="AA119" s="35" t="s">
        <v>92</v>
      </c>
      <c r="AB119" s="35">
        <v>2014</v>
      </c>
      <c r="AC119" s="35" t="s">
        <v>87</v>
      </c>
      <c r="AD119" s="35" t="s">
        <v>88</v>
      </c>
      <c r="AE119" s="35" t="s">
        <v>89</v>
      </c>
      <c r="AF119" s="35">
        <v>2015</v>
      </c>
      <c r="AG119" s="35" t="s">
        <v>84</v>
      </c>
      <c r="AH119" s="35" t="s">
        <v>85</v>
      </c>
      <c r="AI119" s="35" t="s">
        <v>86</v>
      </c>
      <c r="AJ119" s="35">
        <v>2016</v>
      </c>
      <c r="AK119" s="35" t="s">
        <v>83</v>
      </c>
      <c r="AL119" s="35" t="s">
        <v>82</v>
      </c>
      <c r="AM119" s="35" t="s">
        <v>81</v>
      </c>
      <c r="AN119" s="35">
        <v>2017</v>
      </c>
      <c r="AO119" s="35" t="s">
        <v>171</v>
      </c>
      <c r="AP119" s="35" t="s">
        <v>174</v>
      </c>
      <c r="AQ119" s="35" t="s">
        <v>176</v>
      </c>
      <c r="AR119" s="35">
        <v>2018</v>
      </c>
      <c r="AS119" s="35" t="s">
        <v>187</v>
      </c>
      <c r="AT119" s="35" t="s">
        <v>189</v>
      </c>
      <c r="AU119" s="35" t="s">
        <v>192</v>
      </c>
      <c r="AV119" s="35">
        <v>2019</v>
      </c>
    </row>
    <row r="120" spans="1:48" ht="15" customHeight="1" x14ac:dyDescent="0.2">
      <c r="B120" s="24" t="s">
        <v>58</v>
      </c>
      <c r="C120" s="3">
        <f>'Finansallar - 2008-2019'!C177/C$14</f>
        <v>-300.40299999999996</v>
      </c>
      <c r="D120" s="3">
        <f>'Finansallar - 2008-2019'!D177/D$14</f>
        <v>-297.53999999999996</v>
      </c>
      <c r="E120" s="3">
        <f>'Finansallar - 2008-2019'!E177/E$14</f>
        <v>-297.3933649289097</v>
      </c>
      <c r="F120" s="3">
        <f>'Finansallar - 2008-2019'!F177/F$14</f>
        <v>-315.66564276844639</v>
      </c>
      <c r="G120" s="3">
        <f>'Finansallar - 2008-2019'!G177/G$14</f>
        <v>-304.31856399999998</v>
      </c>
      <c r="H120" s="3">
        <f>'Finansallar - 2008-2019'!H177/H$14</f>
        <v>-247.72533900000002</v>
      </c>
      <c r="I120" s="3">
        <f>'Finansallar - 2008-2019'!I177/I$14</f>
        <v>-239.89478999999997</v>
      </c>
      <c r="J120" s="3">
        <f>'Finansallar - 2008-2019'!J177/J$14</f>
        <v>-254.01679999999999</v>
      </c>
      <c r="K120" s="3">
        <f>'Finansallar - 2008-2019'!K177/K$14</f>
        <v>-261.16321499999998</v>
      </c>
      <c r="L120" s="3">
        <f>'Finansallar - 2008-2019'!L177/L$14</f>
        <v>-228.331343</v>
      </c>
      <c r="M120" s="3">
        <f>'Finansallar - 2008-2019'!M177/M$14</f>
        <v>-214.42884000000004</v>
      </c>
      <c r="N120" s="3">
        <f>'Finansallar - 2008-2019'!N177/N$14</f>
        <v>-169.304472</v>
      </c>
      <c r="O120" s="3">
        <f>'Finansallar - 2008-2019'!O177/O$14</f>
        <v>-197.79970499999999</v>
      </c>
      <c r="P120" s="3">
        <f>'Finansallar - 2008-2019'!P177/P$14</f>
        <v>-121.76407</v>
      </c>
      <c r="Q120" s="3">
        <f>'Finansallar - 2008-2019'!Q177/Q$14</f>
        <v>-126.91057499999999</v>
      </c>
      <c r="R120" s="3">
        <f>'Finansallar - 2008-2019'!R177/R$14</f>
        <v>-158.31730199999998</v>
      </c>
      <c r="S120" s="3">
        <f>'Finansallar - 2008-2019'!S177/S$14</f>
        <v>-135.59695599999998</v>
      </c>
      <c r="T120" s="3">
        <f>'Finansallar - 2008-2019'!T177/T$14</f>
        <v>-162.68361999999999</v>
      </c>
      <c r="U120" s="3">
        <f>'Finansallar - 2008-2019'!U177/U$14</f>
        <v>-215.07148700000002</v>
      </c>
      <c r="V120" s="3">
        <f>'Finansallar - 2008-2019'!V177/V$14</f>
        <v>-206.25519534497096</v>
      </c>
      <c r="W120" s="3">
        <f>'Finansallar - 2008-2019'!W177/W$14</f>
        <v>-281.19176799999997</v>
      </c>
      <c r="X120" s="3">
        <f>'Finansallar - 2008-2019'!X177/X$14</f>
        <v>-290.02502200000004</v>
      </c>
      <c r="Y120" s="3">
        <f>'Finansallar - 2008-2019'!Y177/Y$14</f>
        <v>-234.26796967759594</v>
      </c>
      <c r="Z120" s="3">
        <f>'Finansallar - 2008-2019'!Z177/Z$14</f>
        <v>-265.14081190543493</v>
      </c>
      <c r="AA120" s="3">
        <f>'Finansallar - 2008-2019'!AA177/AA$14</f>
        <v>-269.86704111632821</v>
      </c>
      <c r="AB120" s="3">
        <f>'Finansallar - 2008-2019'!AB177/AB$14</f>
        <v>-263.91823709517439</v>
      </c>
      <c r="AC120" s="3">
        <f>'Finansallar - 2008-2019'!AC177/AC$14</f>
        <v>-275.45781932418993</v>
      </c>
      <c r="AD120" s="3">
        <f>'Finansallar - 2008-2019'!AD177/AD$14</f>
        <v>-259.46452299999999</v>
      </c>
      <c r="AE120" s="3">
        <f>'Finansallar - 2008-2019'!AE177/AE$14</f>
        <v>-255.64354483619755</v>
      </c>
      <c r="AF120" s="3">
        <f>'Finansallar - 2008-2019'!AF177/AF$14</f>
        <v>-233.86985830237975</v>
      </c>
      <c r="AG120" s="3">
        <f>'Finansallar - 2008-2019'!AG177/AG$14</f>
        <v>-191.64254958706871</v>
      </c>
      <c r="AH120" s="3">
        <f>'Finansallar - 2008-2019'!AH177/AH$14</f>
        <v>-169.68469000000002</v>
      </c>
      <c r="AI120" s="3">
        <f>'Finansallar - 2008-2019'!AI177/AI$14</f>
        <v>-144.86464835274899</v>
      </c>
      <c r="AJ120" s="3">
        <f>'Finansallar - 2008-2019'!AJ177/AJ$14</f>
        <v>-134.97385769493087</v>
      </c>
      <c r="AK120" s="3">
        <f>'Finansallar - 2008-2019'!AK177/AK$14</f>
        <v>344.36321662177755</v>
      </c>
      <c r="AL120" s="3">
        <f>'Finansallar - 2008-2019'!AL177/AL$14</f>
        <v>296.82643779761037</v>
      </c>
      <c r="AM120" s="3">
        <f>'Finansallar - 2008-2019'!AM177/AM$14</f>
        <v>213.67641676754633</v>
      </c>
      <c r="AN120" s="3">
        <f>'Finansallar - 2008-2019'!AN177/AN$14</f>
        <v>302.7651846549486</v>
      </c>
      <c r="AO120" s="3">
        <f>'Finansallar - 2008-2019'!AO177/AO$14</f>
        <v>421.3831699967086</v>
      </c>
      <c r="AP120" s="3">
        <f>'Finansallar - 2008-2019'!AP177/AP$14</f>
        <v>413.53301028350916</v>
      </c>
      <c r="AQ120" s="3">
        <f>'Finansallar - 2008-2019'!AQ177/AQ$14</f>
        <v>320.69046108644113</v>
      </c>
      <c r="AR120" s="3">
        <f>'Finansallar - 2008-2019'!AR177/AR$14</f>
        <v>397.30084206124502</v>
      </c>
      <c r="AS120" s="3">
        <f>'Finansallar - 2008-2019'!AS177/AS$14</f>
        <v>467.27311491720513</v>
      </c>
      <c r="AT120" s="3">
        <f>'Finansallar - 2008-2019'!AT177/AT$14</f>
        <v>351.94175600771553</v>
      </c>
      <c r="AU120" s="3">
        <f>'Finansallar - 2008-2019'!AU177/AU$14</f>
        <v>372.80327260518521</v>
      </c>
      <c r="AV120" s="3">
        <f>'Finansallar - 2008-2019'!AV177/AV$14</f>
        <v>262.97481566277241</v>
      </c>
    </row>
    <row r="121" spans="1:48" ht="15" customHeight="1" x14ac:dyDescent="0.2">
      <c r="B121" s="24" t="s">
        <v>74</v>
      </c>
      <c r="C121" s="3">
        <f>'Finansallar - 2008-2019'!C178/C$14</f>
        <v>12.1785</v>
      </c>
      <c r="D121" s="3">
        <f>'Finansallar - 2008-2019'!D178/D$14</f>
        <v>51.573599999999999</v>
      </c>
      <c r="E121" s="3">
        <f>'Finansallar - 2008-2019'!E178/E$14</f>
        <v>37.322274881516556</v>
      </c>
      <c r="F121" s="3">
        <f>'Finansallar - 2008-2019'!F178/F$14</f>
        <v>93.457943925233607</v>
      </c>
      <c r="G121" s="3">
        <f>'Finansallar - 2008-2019'!G178/G$14</f>
        <v>114.70988</v>
      </c>
      <c r="H121" s="3">
        <f>'Finansallar - 2008-2019'!H178/H$14</f>
        <v>92.98002000000001</v>
      </c>
      <c r="I121" s="3">
        <f>'Finansallar - 2008-2019'!I178/I$14</f>
        <v>153.138318</v>
      </c>
      <c r="J121" s="3">
        <f>'Finansallar - 2008-2019'!J178/J$14</f>
        <v>141.61436599999999</v>
      </c>
      <c r="K121" s="3">
        <f>'Finansallar - 2008-2019'!K178/K$14</f>
        <v>137.81699999999998</v>
      </c>
      <c r="L121" s="3">
        <f>'Finansallar - 2008-2019'!L178/L$14</f>
        <v>208.926413</v>
      </c>
      <c r="M121" s="3">
        <f>'Finansallar - 2008-2019'!M178/M$14</f>
        <v>249.95169000000004</v>
      </c>
      <c r="N121" s="3">
        <f>'Finansallar - 2008-2019'!N178/N$14</f>
        <v>135.56626199999999</v>
      </c>
      <c r="O121" s="3">
        <f>'Finansallar - 2008-2019'!O178/O$14</f>
        <v>98.086977000000005</v>
      </c>
      <c r="P121" s="3">
        <f>'Finansallar - 2008-2019'!P178/P$14</f>
        <v>103.76416399999999</v>
      </c>
      <c r="Q121" s="3">
        <f>'Finansallar - 2008-2019'!Q178/Q$14</f>
        <v>139.883656</v>
      </c>
      <c r="R121" s="3">
        <f>'Finansallar - 2008-2019'!R178/R$14</f>
        <v>111.81851399999999</v>
      </c>
      <c r="S121" s="3">
        <f>'Finansallar - 2008-2019'!S178/S$14</f>
        <v>49.868301999999993</v>
      </c>
      <c r="T121" s="3">
        <f>'Finansallar - 2008-2019'!T178/T$14</f>
        <v>82.463766000000007</v>
      </c>
      <c r="U121" s="3">
        <f>'Finansallar - 2008-2019'!U178/U$14</f>
        <v>150.937059</v>
      </c>
      <c r="V121" s="3">
        <f>'Finansallar - 2008-2019'!V178/V$14</f>
        <v>29.093931837073992</v>
      </c>
      <c r="W121" s="3">
        <f>'Finansallar - 2008-2019'!W178/W$14</f>
        <v>36.377955999999998</v>
      </c>
      <c r="X121" s="3">
        <f>'Finansallar - 2008-2019'!X178/X$14</f>
        <v>104.95251200000001</v>
      </c>
      <c r="Y121" s="3">
        <f>'Finansallar - 2008-2019'!Y178/Y$14</f>
        <v>134.71549913234074</v>
      </c>
      <c r="Z121" s="3">
        <f>'Finansallar - 2008-2019'!Z178/Z$14</f>
        <v>28.25656965244422</v>
      </c>
      <c r="AA121" s="3">
        <f>'Finansallar - 2008-2019'!AA178/AA$14</f>
        <v>-20.185177059107474</v>
      </c>
      <c r="AB121" s="3">
        <f>'Finansallar - 2008-2019'!AB178/AB$14</f>
        <v>29.75548751563241</v>
      </c>
      <c r="AC121" s="3">
        <f>'Finansallar - 2008-2019'!AC178/AC$14</f>
        <v>88.498965596506082</v>
      </c>
      <c r="AD121" s="3">
        <f>'Finansallar - 2008-2019'!AD178/AD$14</f>
        <v>-33.875568999999999</v>
      </c>
      <c r="AE121" s="3">
        <f>'Finansallar - 2008-2019'!AE178/AE$14</f>
        <v>-111.06364801366938</v>
      </c>
      <c r="AF121" s="3">
        <f>'Finansallar - 2008-2019'!AF178/AF$14</f>
        <v>-111.08818269363039</v>
      </c>
      <c r="AG121" s="3">
        <f>'Finansallar - 2008-2019'!AG178/AG$14</f>
        <v>-39.528481682783969</v>
      </c>
      <c r="AH121" s="3">
        <f>'Finansallar - 2008-2019'!AH178/AH$14</f>
        <v>-12.78683</v>
      </c>
      <c r="AI121" s="3">
        <f>'Finansallar - 2008-2019'!AI178/AI$14</f>
        <v>-32.043793184018206</v>
      </c>
      <c r="AJ121" s="3">
        <f>'Finansallar - 2008-2019'!AJ178/AJ$14</f>
        <v>64.503296203682766</v>
      </c>
      <c r="AK121" s="3">
        <f>'Finansallar - 2008-2019'!AK178/AK$14</f>
        <v>57.164843621172977</v>
      </c>
      <c r="AL121" s="3">
        <f>'Finansallar - 2008-2019'!AL178/AL$14</f>
        <v>82.119129765333128</v>
      </c>
      <c r="AM121" s="3">
        <f>'Finansallar - 2008-2019'!AM178/AM$14</f>
        <v>107.26049379240467</v>
      </c>
      <c r="AN121" s="3">
        <f>'Finansallar - 2008-2019'!AN178/AN$14</f>
        <v>155.35936795779324</v>
      </c>
      <c r="AO121" s="3">
        <f>'Finansallar - 2008-2019'!AO178/AO$14</f>
        <v>173.21279343614705</v>
      </c>
      <c r="AP121" s="3">
        <f>'Finansallar - 2008-2019'!AP178/AP$14</f>
        <v>91.214068015874759</v>
      </c>
      <c r="AQ121" s="3">
        <f>'Finansallar - 2008-2019'!AQ178/AQ$14</f>
        <v>101.66605455577441</v>
      </c>
      <c r="AR121" s="3">
        <f>'Finansallar - 2008-2019'!AR178/AR$14</f>
        <v>127.68100515121012</v>
      </c>
      <c r="AS121" s="3">
        <f>'Finansallar - 2008-2019'!AS178/AS$14</f>
        <v>77.464288252434017</v>
      </c>
      <c r="AT121" s="3">
        <f>'Finansallar - 2008-2019'!AT178/AT$14</f>
        <v>64.571944883668507</v>
      </c>
      <c r="AU121" s="3">
        <f>'Finansallar - 2008-2019'!AU178/AU$14</f>
        <v>43.908218621335621</v>
      </c>
      <c r="AV121" s="3">
        <f>'Finansallar - 2008-2019'!AV178/AV$14</f>
        <v>85.95030470354537</v>
      </c>
    </row>
    <row r="122" spans="1:48" ht="15" customHeight="1" x14ac:dyDescent="0.2">
      <c r="B122" s="24" t="s">
        <v>75</v>
      </c>
      <c r="C122" s="3">
        <f>'Finansallar - 2008-2019'!C179/C$14</f>
        <v>-12.1785</v>
      </c>
      <c r="D122" s="3">
        <f>'Finansallar - 2008-2019'!D179/D$14</f>
        <v>-13.885199999999999</v>
      </c>
      <c r="E122" s="3">
        <f>'Finansallar - 2008-2019'!E179/E$14</f>
        <v>-13.625592417061601</v>
      </c>
      <c r="F122" s="3">
        <f>'Finansallar - 2008-2019'!F179/F$14</f>
        <v>-7.8426246650545677</v>
      </c>
      <c r="G122" s="3">
        <f>'Finansallar - 2008-2019'!G179/G$14</f>
        <v>-9.4466959999999993</v>
      </c>
      <c r="H122" s="3">
        <f>'Finansallar - 2008-2019'!H179/H$14</f>
        <v>-6.6414300000000006</v>
      </c>
      <c r="I122" s="3">
        <f>'Finansallar - 2008-2019'!I179/I$14</f>
        <v>-3.9434759999999995</v>
      </c>
      <c r="J122" s="3">
        <f>'Finansallar - 2008-2019'!J179/J$14</f>
        <v>-1.9051259999999999</v>
      </c>
      <c r="K122" s="3">
        <f>'Finansallar - 2008-2019'!K179/K$14</f>
        <v>0</v>
      </c>
      <c r="L122" s="3">
        <f>'Finansallar - 2008-2019'!L179/L$14</f>
        <v>9.0556339999999995</v>
      </c>
      <c r="M122" s="3">
        <f>'Finansallar - 2008-2019'!M179/M$14</f>
        <v>10.979790000000001</v>
      </c>
      <c r="N122" s="3">
        <f>'Finansallar - 2008-2019'!N179/N$14</f>
        <v>11.041596</v>
      </c>
      <c r="O122" s="3">
        <f>'Finansallar - 2008-2019'!O179/O$14</f>
        <v>9.7545059999999992</v>
      </c>
      <c r="P122" s="3">
        <f>'Finansallar - 2008-2019'!P179/P$14</f>
        <v>10.058771</v>
      </c>
      <c r="Q122" s="3">
        <f>'Finansallar - 2008-2019'!Q179/Q$14</f>
        <v>8.460704999999999</v>
      </c>
      <c r="R122" s="3">
        <f>'Finansallar - 2008-2019'!R179/R$14</f>
        <v>3.8748990000000001</v>
      </c>
      <c r="S122" s="3">
        <f>'Finansallar - 2008-2019'!S179/S$14</f>
        <v>3.9222259999999998</v>
      </c>
      <c r="T122" s="3">
        <f>'Finansallar - 2008-2019'!T179/T$14</f>
        <v>6.1707580000000002</v>
      </c>
      <c r="U122" s="3">
        <f>'Finansallar - 2008-2019'!U179/U$14</f>
        <v>9.3990109999999998</v>
      </c>
      <c r="V122" s="3">
        <f>'Finansallar - 2008-2019'!V179/V$14</f>
        <v>-18.703241895261851</v>
      </c>
      <c r="W122" s="3">
        <f>'Finansallar - 2008-2019'!W179/W$14</f>
        <v>-34.411579999999994</v>
      </c>
      <c r="X122" s="3">
        <f>'Finansallar - 2008-2019'!X179/X$14</f>
        <v>-46.385262000000004</v>
      </c>
      <c r="Y122" s="3">
        <f>'Finansallar - 2008-2019'!Y179/Y$14</f>
        <v>-49.776235272627595</v>
      </c>
      <c r="Z122" s="3">
        <f>'Finansallar - 2008-2019'!Z179/Z$14</f>
        <v>-53.216539512103282</v>
      </c>
      <c r="AA122" s="3">
        <f>'Finansallar - 2008-2019'!AA179/AA$14</f>
        <v>-47.391285269208851</v>
      </c>
      <c r="AB122" s="3">
        <f>'Finansallar - 2008-2019'!AB179/AB$14</f>
        <v>-39.242744404674625</v>
      </c>
      <c r="AC122" s="3">
        <f>'Finansallar - 2008-2019'!AC179/AC$14</f>
        <v>-25.28541874185888</v>
      </c>
      <c r="AD122" s="3">
        <f>'Finansallar - 2008-2019'!AD179/AD$14</f>
        <v>-14.145842</v>
      </c>
      <c r="AE122" s="3">
        <f>'Finansallar - 2008-2019'!AE179/AE$14</f>
        <v>-12.815036309269543</v>
      </c>
      <c r="AF122" s="3">
        <f>'Finansallar - 2008-2019'!AF179/AF$14</f>
        <v>-13.413124226165898</v>
      </c>
      <c r="AG122" s="3">
        <f>'Finansallar - 2008-2019'!AG179/AG$14</f>
        <v>-13.411449142373133</v>
      </c>
      <c r="AH122" s="3">
        <f>'Finansallar - 2008-2019'!AH179/AH$14</f>
        <v>-30.411920000000002</v>
      </c>
      <c r="AI122" s="3">
        <f>'Finansallar - 2008-2019'!AI179/AI$14</f>
        <v>-43.058847091024468</v>
      </c>
      <c r="AJ122" s="3">
        <f>'Finansallar - 2008-2019'!AJ179/AJ$14</f>
        <v>-62.514207774494302</v>
      </c>
      <c r="AK122" s="3">
        <f>'Finansallar - 2008-2019'!AK179/AK$14</f>
        <v>-78.601659979112839</v>
      </c>
      <c r="AL122" s="3">
        <f>'Finansallar - 2008-2019'!AL179/AL$14</f>
        <v>-90.673205782555328</v>
      </c>
      <c r="AM122" s="3">
        <f>'Finansallar - 2008-2019'!AM179/AM$14</f>
        <v>-100.22240364854611</v>
      </c>
      <c r="AN122" s="3">
        <f>'Finansallar - 2008-2019'!AN179/AN$14</f>
        <v>-104.19152151435622</v>
      </c>
      <c r="AO122" s="3">
        <f>'Finansallar - 2008-2019'!AO179/AO$14</f>
        <v>-104.83932234293111</v>
      </c>
      <c r="AP122" s="3">
        <f>'Finansallar - 2008-2019'!AP179/AP$14</f>
        <v>-73.672901089744997</v>
      </c>
      <c r="AQ122" s="3">
        <f>'Finansallar - 2008-2019'!AQ179/AQ$14</f>
        <v>-47.076892257353663</v>
      </c>
      <c r="AR122" s="3">
        <f>'Finansallar - 2008-2019'!AR179/AR$14</f>
        <v>-17.968408447223894</v>
      </c>
      <c r="AS122" s="3">
        <f>'Finansallar - 2008-2019'!AS179/AS$14</f>
        <v>-12.614597398905538</v>
      </c>
      <c r="AT122" s="3">
        <f>'Finansallar - 2008-2019'!AT179/AT$14</f>
        <v>-12.28666747754168</v>
      </c>
      <c r="AU122" s="3">
        <f>'Finansallar - 2008-2019'!AU179/AU$14</f>
        <v>-11.792687883232336</v>
      </c>
      <c r="AV122" s="73"/>
    </row>
    <row r="123" spans="1:48" ht="15" customHeight="1" x14ac:dyDescent="0.2">
      <c r="B123" s="24" t="s">
        <v>76</v>
      </c>
      <c r="C123" s="3">
        <f>'Finansallar - 2008-2019'!C180/C$14</f>
        <v>243.57</v>
      </c>
      <c r="D123" s="3">
        <f>'Finansallar - 2008-2019'!D180/D$14</f>
        <v>185.7972</v>
      </c>
      <c r="E123" s="3">
        <f>'Finansallar - 2008-2019'!E180/E$14</f>
        <v>146.32701421800937</v>
      </c>
      <c r="F123" s="3">
        <f>'Finansallar - 2008-2019'!F180/F$14</f>
        <v>172.5377426312005</v>
      </c>
      <c r="G123" s="3">
        <f>'Finansallar - 2008-2019'!G180/G$14</f>
        <v>185.56010000000001</v>
      </c>
      <c r="H123" s="3">
        <f>'Finansallar - 2008-2019'!H180/H$14</f>
        <v>193.929756</v>
      </c>
      <c r="I123" s="3">
        <f>'Finansallar - 2008-2019'!I180/I$14</f>
        <v>178.77091199999998</v>
      </c>
      <c r="J123" s="3">
        <f>'Finansallar - 2008-2019'!J180/J$14</f>
        <v>170.19125599999998</v>
      </c>
      <c r="K123" s="3">
        <f>'Finansallar - 2008-2019'!K180/K$14</f>
        <v>188.80928999999998</v>
      </c>
      <c r="L123" s="3">
        <f>'Finansallar - 2008-2019'!L180/L$14</f>
        <v>192.755638</v>
      </c>
      <c r="M123" s="3">
        <f>'Finansallar - 2008-2019'!M180/M$14</f>
        <v>193.76100000000002</v>
      </c>
      <c r="N123" s="3">
        <f>'Finansallar - 2008-2019'!N180/N$14</f>
        <v>210.40374600000001</v>
      </c>
      <c r="O123" s="3">
        <f>'Finansallar - 2008-2019'!O180/O$14</f>
        <v>192.92245199999999</v>
      </c>
      <c r="P123" s="3">
        <f>'Finansallar - 2008-2019'!P180/P$14</f>
        <v>206.998919</v>
      </c>
      <c r="Q123" s="3">
        <f>'Finansallar - 2008-2019'!Q180/Q$14</f>
        <v>232.95141099999998</v>
      </c>
      <c r="R123" s="3">
        <f>'Finansallar - 2008-2019'!R180/R$14</f>
        <v>253.52910599999998</v>
      </c>
      <c r="S123" s="3">
        <f>'Finansallar - 2008-2019'!S180/S$14</f>
        <v>230.29069799999999</v>
      </c>
      <c r="T123" s="3">
        <f>'Finansallar - 2008-2019'!T180/T$14</f>
        <v>430.270126</v>
      </c>
      <c r="U123" s="3">
        <f>'Finansallar - 2008-2019'!U180/U$14</f>
        <v>432.35450600000001</v>
      </c>
      <c r="V123" s="3">
        <f>'Finansallar - 2008-2019'!V180/V$14</f>
        <v>392.24854530340826</v>
      </c>
      <c r="W123" s="3">
        <f>'Finansallar - 2008-2019'!W180/W$14</f>
        <v>329.36797999999999</v>
      </c>
      <c r="X123" s="3">
        <f>'Finansallar - 2008-2019'!X180/X$14</f>
        <v>322.35414400000002</v>
      </c>
      <c r="Y123" s="3">
        <f>'Finansallar - 2008-2019'!Y180/Y$14</f>
        <v>321.49054708192506</v>
      </c>
      <c r="Z123" s="3">
        <f>'Finansallar - 2008-2019'!Z180/Z$14</f>
        <v>349.91052086276761</v>
      </c>
      <c r="AA123" s="3">
        <f>'Finansallar - 2008-2019'!AA180/AA$14</f>
        <v>307.60454605292045</v>
      </c>
      <c r="AB123" s="3">
        <f>'Finansallar - 2008-2019'!AB180/AB$14</f>
        <v>274.26797188322047</v>
      </c>
      <c r="AC123" s="3">
        <f>'Finansallar - 2008-2019'!AC180/AC$14</f>
        <v>254.38663703930752</v>
      </c>
      <c r="AD123" s="3">
        <f>'Finansallar - 2008-2019'!AD180/AD$14</f>
        <v>320.51499899999999</v>
      </c>
      <c r="AE123" s="3">
        <f>'Finansallar - 2008-2019'!AE180/AE$14</f>
        <v>302.96060197811585</v>
      </c>
      <c r="AF123" s="3">
        <f>'Finansallar - 2008-2019'!AF180/AF$14</f>
        <v>295.77658550006851</v>
      </c>
      <c r="AG123" s="3">
        <f>'Finansallar - 2008-2019'!AG180/AG$14</f>
        <v>272.81711018564295</v>
      </c>
      <c r="AH123" s="3">
        <f>'Finansallar - 2008-2019'!AH180/AH$14</f>
        <v>267.14107000000001</v>
      </c>
      <c r="AI123" s="3">
        <f>'Finansallar - 2008-2019'!AI180/AI$14</f>
        <v>258.01929303381326</v>
      </c>
      <c r="AJ123" s="3">
        <f>'Finansallar - 2008-2019'!AJ180/AJ$14</f>
        <v>227.32439190725202</v>
      </c>
      <c r="AK123" s="3">
        <f>'Finansallar - 2008-2019'!AK180/AK$14</f>
        <v>202.82526246358489</v>
      </c>
      <c r="AL123" s="3">
        <f>'Finansallar - 2008-2019'!AL180/AL$14</f>
        <v>215.56271563399946</v>
      </c>
      <c r="AM123" s="3">
        <f>'Finansallar - 2008-2019'!AM180/AM$14</f>
        <v>266.60285464936277</v>
      </c>
      <c r="AN123" s="3">
        <f>'Finansallar - 2008-2019'!AN180/AN$14</f>
        <v>212.35981865903139</v>
      </c>
      <c r="AO123" s="3">
        <f>'Finansallar - 2008-2019'!AO180/AO$14</f>
        <v>191.69895413912764</v>
      </c>
      <c r="AP123" s="3">
        <f>'Finansallar - 2008-2019'!AP180/AP$14</f>
        <v>197.1188633323832</v>
      </c>
      <c r="AQ123" s="3">
        <f>'Finansallar - 2008-2019'!AQ180/AQ$14</f>
        <v>196.65453574171141</v>
      </c>
      <c r="AR123" s="3">
        <f>'Finansallar - 2008-2019'!AR180/AR$14</f>
        <v>158.46014940409466</v>
      </c>
      <c r="AS123" s="3">
        <f>'Finansallar - 2008-2019'!AS180/AS$14</f>
        <v>214.09281500959401</v>
      </c>
      <c r="AT123" s="3">
        <f>'Finansallar - 2008-2019'!AT180/AT$14</f>
        <v>222.35321714653128</v>
      </c>
      <c r="AU123" s="3">
        <f>'Finansallar - 2008-2019'!AU180/AU$14</f>
        <v>215.39220017317277</v>
      </c>
      <c r="AV123" s="3">
        <f>'Finansallar - 2008-2019'!AV180/AV$14</f>
        <v>211.4975758391974</v>
      </c>
    </row>
    <row r="124" spans="1:48" ht="15" customHeight="1" x14ac:dyDescent="0.2">
      <c r="A124" s="55" t="s">
        <v>164</v>
      </c>
      <c r="B124" s="43" t="s">
        <v>166</v>
      </c>
      <c r="C124" s="44">
        <f>'Finansallar - 2008-2019'!C181/C$14</f>
        <v>-56.832999999999998</v>
      </c>
      <c r="D124" s="44">
        <f>'Finansallar - 2008-2019'!D181/D$14</f>
        <v>-74.054400000000001</v>
      </c>
      <c r="E124" s="44">
        <f>'Finansallar - 2008-2019'!E181/E$14</f>
        <v>-127.3696682464454</v>
      </c>
      <c r="F124" s="44">
        <f>'Finansallar - 2008-2019'!F181/F$14</f>
        <v>-57.512580877066831</v>
      </c>
      <c r="G124" s="44">
        <f>'Finansallar - 2008-2019'!G181/G$14</f>
        <v>-13.495279999999999</v>
      </c>
      <c r="H124" s="44">
        <f>'Finansallar - 2008-2019'!H181/H$14</f>
        <v>32.543007000000003</v>
      </c>
      <c r="I124" s="44">
        <f>'Finansallar - 2008-2019'!I181/I$14</f>
        <v>88.070963999999989</v>
      </c>
      <c r="J124" s="44">
        <f>'Finansallar - 2008-2019'!J181/J$14</f>
        <v>55.883696</v>
      </c>
      <c r="K124" s="44">
        <f>'Finansallar - 2008-2019'!K181/K$14</f>
        <v>65.463074999999989</v>
      </c>
      <c r="L124" s="44">
        <f>'Finansallar - 2008-2019'!L181/L$14</f>
        <v>182.406342</v>
      </c>
      <c r="M124" s="44">
        <f>'Finansallar - 2008-2019'!M181/M$14</f>
        <v>240.26364000000004</v>
      </c>
      <c r="N124" s="44">
        <f>'Finansallar - 2008-2019'!N181/N$14</f>
        <v>187.707132</v>
      </c>
      <c r="O124" s="44">
        <f>'Finansallar - 2008-2019'!O181/O$14</f>
        <v>102.96423</v>
      </c>
      <c r="P124" s="44">
        <f>'Finansallar - 2008-2019'!P181/P$14</f>
        <v>199.057784</v>
      </c>
      <c r="Q124" s="44">
        <f>'Finansallar - 2008-2019'!Q181/Q$14</f>
        <v>254.38519699999998</v>
      </c>
      <c r="R124" s="44">
        <f>'Finansallar - 2008-2019'!R181/R$14</f>
        <v>210.90521699999999</v>
      </c>
      <c r="S124" s="44">
        <f>'Finansallar - 2008-2019'!S181/S$14</f>
        <v>148.48426999999998</v>
      </c>
      <c r="T124" s="44">
        <f>'Finansallar - 2008-2019'!T181/T$14</f>
        <v>356.22102999999998</v>
      </c>
      <c r="U124" s="44">
        <f>'Finansallar - 2008-2019'!U181/U$14</f>
        <v>377.61908900000003</v>
      </c>
      <c r="V124" s="44">
        <f>'Finansallar - 2008-2019'!V181/V$14</f>
        <v>196.38403990024943</v>
      </c>
      <c r="W124" s="44">
        <f>'Finansallar - 2008-2019'!W181/W$14</f>
        <v>50.142587999999996</v>
      </c>
      <c r="X124" s="44">
        <f>'Finansallar - 2008-2019'!X181/X$14</f>
        <v>90.896372000000014</v>
      </c>
      <c r="Y124" s="44">
        <f>'Finansallar - 2008-2019'!Y181/Y$14</f>
        <v>172.16184126404224</v>
      </c>
      <c r="Z124" s="44">
        <f>'Finansallar - 2008-2019'!Z181/Z$14</f>
        <v>59.809739097673599</v>
      </c>
      <c r="AA124" s="44">
        <f>'Finansallar - 2008-2019'!AA181/AA$14</f>
        <v>-29.838957391724094</v>
      </c>
      <c r="AB124" s="44">
        <f>'Finansallar - 2008-2019'!AB181/AB$14</f>
        <v>0.86247789900383798</v>
      </c>
      <c r="AC124" s="44">
        <f>'Finansallar - 2008-2019'!AC181/AC$14</f>
        <v>42.142364569764801</v>
      </c>
      <c r="AD124" s="44">
        <f>'Finansallar - 2008-2019'!AD181/AD$14</f>
        <v>13.029064999999999</v>
      </c>
      <c r="AE124" s="44">
        <f>'Finansallar - 2008-2019'!AE181/AE$14</f>
        <v>-76.561627181020611</v>
      </c>
      <c r="AF124" s="44">
        <f>'Finansallar - 2008-2019'!AF181/AF$14</f>
        <v>-62.594579722107525</v>
      </c>
      <c r="AG124" s="44">
        <f>'Finansallar - 2008-2019'!AG181/AG$14</f>
        <v>28.234629773417122</v>
      </c>
      <c r="AH124" s="44">
        <f>'Finansallar - 2008-2019'!AH181/AH$14</f>
        <v>54.257630000000006</v>
      </c>
      <c r="AI124" s="44">
        <f>'Finansallar - 2008-2019'!AI181/AI$14</f>
        <v>38.052004406021624</v>
      </c>
      <c r="AJ124" s="44">
        <f>'Finansallar - 2008-2019'!AJ181/AJ$14</f>
        <v>94.339622641509592</v>
      </c>
      <c r="AK124" s="44">
        <f>'Finansallar - 2008-2019'!AK181/AK$14</f>
        <v>525.75166272742263</v>
      </c>
      <c r="AL124" s="44">
        <f>'Finansallar - 2008-2019'!AL181/AL$14</f>
        <v>503.83507741438763</v>
      </c>
      <c r="AM124" s="44">
        <f>'Finansallar - 2008-2019'!AM181/AM$14</f>
        <v>487.31736156076767</v>
      </c>
      <c r="AN124" s="44">
        <f>'Finansallar - 2008-2019'!AN181/AN$14</f>
        <v>566.292849757417</v>
      </c>
      <c r="AO124" s="44">
        <f>'Finansallar - 2008-2019'!AO181/AO$14</f>
        <v>681.45559522905216</v>
      </c>
      <c r="AP124" s="44">
        <f>'Finansallar - 2008-2019'!AP181/AP$14</f>
        <v>628.19304054202212</v>
      </c>
      <c r="AQ124" s="44">
        <f>'Finansallar - 2008-2019'!AQ181/AQ$14</f>
        <v>571.93415912657326</v>
      </c>
      <c r="AR124" s="44">
        <f>'Finansallar - 2008-2019'!AR181/AR$14</f>
        <v>683.44199661654989</v>
      </c>
      <c r="AS124" s="44">
        <f>'Finansallar - 2008-2019'!AS181/AS$14</f>
        <v>746.39329116622764</v>
      </c>
      <c r="AT124" s="44">
        <f>'Finansallar - 2008-2019'!AT181/AT$14</f>
        <v>626.58025056037366</v>
      </c>
      <c r="AU124" s="44">
        <f>'Finansallar - 2008-2019'!AU181/AU$14</f>
        <v>619.96695587637714</v>
      </c>
      <c r="AV124" s="44">
        <f>'Finansallar - 2008-2019'!AV181/AV$14</f>
        <v>560.42271303996517</v>
      </c>
    </row>
    <row r="125" spans="1:48" x14ac:dyDescent="0.2">
      <c r="A125" s="55"/>
      <c r="B125" s="2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8" spans="1:48" ht="15" x14ac:dyDescent="0.25"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O128"/>
      <c r="AS128"/>
    </row>
  </sheetData>
  <hyperlinks>
    <hyperlink ref="B4" location="'Finansal Veriler - Eski Seg-USD'!A43" display="Konsolide Özet Gelir Tablosu (Çeyreklik)" xr:uid="{F6D799DC-331F-4989-A0D9-3762416FD565}"/>
    <hyperlink ref="B3" location="'Finansal Veriler - Eski Seg-USD'!A27" display="Konsolide Özet Gelir Tablosu (Kümülatif)" xr:uid="{833A2750-614C-4D01-BB3F-222A39F290BC}"/>
    <hyperlink ref="B5" location="'Finansal Veriler - Eski Seg-USD'!A71" display="Konsolide Gelir, FAVÖK ve Net Kar Dağılımı (Kümülatif)" xr:uid="{671D359A-A84C-4787-A86B-56499327C860}"/>
    <hyperlink ref="B6" location="'Finansal Veriler - Eski Seg-USD'!A99" display="Konsolide Gelir, FAVÖK ve Net Kar Dağılımı (Çeyreklik)" xr:uid="{F6FF683D-FBA4-45AF-AA03-3F25863721D9}"/>
    <hyperlink ref="B7" location="'Finansal Veriler - Eski Seg-USD'!A112" display="Maddi, maddi olmayan duran varlıklar ile ilgili bölümler bazında bilgi" xr:uid="{706A7E93-D09F-4F9D-9627-27AC364F7D16}"/>
    <hyperlink ref="B8" location="'Finansal Veriler - Eski Seg-USD'!A121" display="Net Nakit Durumu" xr:uid="{09F52EB7-A25F-4FC8-AE23-DFD940C5BEA1}"/>
    <hyperlink ref="A124" location="'Finansal Veriler - Eski Seg-USD'!A1" display="Yukarı" xr:uid="{DBA55622-9EFD-4E08-A20B-8A65F3ED0100}"/>
    <hyperlink ref="A115" location="'Finansal Veriler - Eski Seg-USD'!A1" display="Yukarı" xr:uid="{5A6548C2-DB9C-49D9-8CDE-06C89A02F101}"/>
    <hyperlink ref="A101" location="'Finansal Veriler - Eski Seg-USD'!A1" display="Yukarı" xr:uid="{FAEC567F-E5F8-4CE4-8499-EC9EA75E652E}"/>
    <hyperlink ref="A73" location="'Finansal Veriler - Eski Seg-USD'!A1" display="Yukarı" xr:uid="{92D2F0F0-79CC-4199-956B-AB2453F358AB}"/>
    <hyperlink ref="A45" location="'Finansal Veriler - Eski Seg-USD'!A1" display="Yukarı" xr:uid="{A6A220A7-4B21-4F12-BEBD-DF66528BF4EB}"/>
    <hyperlink ref="A29" location="'Finansal Veriler - Eski Seg-USD'!A1" display="Yukarı" xr:uid="{5F445A66-8FA1-4C1E-AF4B-CB525365DA48}"/>
  </hyperlinks>
  <pageMargins left="0.25" right="0.25" top="0.75" bottom="0.75" header="0.3" footer="0.3"/>
  <pageSetup paperSize="8" scale="33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Kapak</vt:lpstr>
      <vt:lpstr>Operasyonel Veriler</vt:lpstr>
      <vt:lpstr>Finansallar - Yeni Segment</vt:lpstr>
      <vt:lpstr>Finansallar - Yeni Segment-USD</vt:lpstr>
      <vt:lpstr>Finansallar - 2019-2022</vt:lpstr>
      <vt:lpstr>Finansallar - 2019-2022-USD</vt:lpstr>
      <vt:lpstr>Finansallar - 2008-2019</vt:lpstr>
      <vt:lpstr>Finansallar - 2008-2019-USD</vt:lpstr>
      <vt:lpstr>'Finansallar - 2008-2019'!Print_Area</vt:lpstr>
      <vt:lpstr>'Finansallar - 2008-2019-USD'!Print_Area</vt:lpstr>
      <vt:lpstr>'Finansallar - 2019-2022'!Print_Area</vt:lpstr>
      <vt:lpstr>'Finansallar - 2019-2022-USD'!Print_Area</vt:lpstr>
      <vt:lpstr>'Finansallar - Yeni Segment'!Print_Area</vt:lpstr>
      <vt:lpstr>'Finansallar - Yeni Segment-USD'!Print_Area</vt:lpstr>
      <vt:lpstr>Kapak!Print_Area</vt:lpstr>
      <vt:lpstr>'Operasyonel Veriler'!Print_Area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Sezer Ercan</dc:creator>
  <cp:lastModifiedBy>Sezer Ercan</cp:lastModifiedBy>
  <cp:lastPrinted>2021-10-25T06:22:17Z</cp:lastPrinted>
  <dcterms:created xsi:type="dcterms:W3CDTF">2017-11-27T06:35:54Z</dcterms:created>
  <dcterms:modified xsi:type="dcterms:W3CDTF">2023-08-23T07:46:27Z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